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DieseArbeitsmappe" defaultThemeVersion="124226"/>
  <xr:revisionPtr revIDLastSave="0" documentId="13_ncr:1_{4959AD6B-1764-49D8-B1AF-B5F49CE99F86}" xr6:coauthVersionLast="47" xr6:coauthVersionMax="47" xr10:uidLastSave="{00000000-0000-0000-0000-000000000000}"/>
  <bookViews>
    <workbookView xWindow="-108" yWindow="-108" windowWidth="23256" windowHeight="12576" tabRatio="803" xr2:uid="{00000000-000D-0000-FFFF-FFFF00000000}"/>
  </bookViews>
  <sheets>
    <sheet name="Basisdaten" sheetId="1" r:id="rId1"/>
    <sheet name="Preisblatt Los 1" sheetId="2" r:id="rId2"/>
    <sheet name="LV UHR Schulen" sheetId="99" r:id="rId3"/>
    <sheet name="LV UHR Kitas" sheetId="110" r:id="rId4"/>
    <sheet name="LV Grundreinigung" sheetId="154" r:id="rId5"/>
    <sheet name="Leistungswerte UHR Schulen" sheetId="101" r:id="rId6"/>
    <sheet name="Leistungswerte UHR Kigas" sheetId="102" r:id="rId7"/>
    <sheet name="Leistungswerte GR Schulen" sheetId="156" r:id="rId8"/>
    <sheet name="Leistungswerte GR Kigas" sheetId="157" r:id="rId9"/>
    <sheet name="SVS UHR" sheetId="112" r:id="rId10"/>
    <sheet name="SVS GR" sheetId="158" r:id="rId11"/>
    <sheet name="SVS Innenglas" sheetId="116" r:id="rId12"/>
    <sheet name="Kalk UHR GS Deisenhofen" sheetId="124" r:id="rId13"/>
    <sheet name="Kalk GR GS Deisenhofen" sheetId="172" r:id="rId14"/>
    <sheet name="Kalk Innengl.GS Deisenhofen" sheetId="125" r:id="rId15"/>
    <sheet name="Kalk UHR KiGa Am Rain" sheetId="133" r:id="rId16"/>
    <sheet name="Kalk GR KiGa Am Rain" sheetId="168" r:id="rId17"/>
    <sheet name="Kalk Innengl.KiGa Am Rain" sheetId="134" r:id="rId18"/>
    <sheet name="Turnus" sheetId="40" r:id="rId19"/>
    <sheet name="verrechenbare Arbeitstage" sheetId="106" r:id="rId20"/>
    <sheet name="verrechenbare Arbeitstage 2" sheetId="173" r:id="rId21"/>
  </sheets>
  <definedNames>
    <definedName name="_xlnm._FilterDatabase" localSheetId="13" hidden="1">'Kalk GR GS Deisenhofen'!$A$7:$R$251</definedName>
    <definedName name="_xlnm._FilterDatabase" localSheetId="16" hidden="1">'Kalk GR KiGa Am Rain'!$A$7:$Q$76</definedName>
    <definedName name="_xlnm._FilterDatabase" localSheetId="14" hidden="1">'Kalk Innengl.GS Deisenhofen'!$A$7:$O$252</definedName>
    <definedName name="_xlnm._FilterDatabase" localSheetId="17" hidden="1">'Kalk Innengl.KiGa Am Rain'!$A$7:$O$77</definedName>
    <definedName name="_xlnm._FilterDatabase" localSheetId="12" hidden="1">'Kalk UHR GS Deisenhofen'!$A$7:$P$252</definedName>
    <definedName name="_xlnm._FilterDatabase" localSheetId="15" hidden="1">'Kalk UHR KiGa Am Rain'!$A$7:$P$76</definedName>
    <definedName name="_xlnm.Print_Area" localSheetId="0">Basisdaten!$A$1:$E$16</definedName>
    <definedName name="_xlnm.Print_Area" localSheetId="13">'Kalk GR GS Deisenhofen'!$A$1:$Q$252</definedName>
    <definedName name="_xlnm.Print_Area" localSheetId="16">'Kalk GR KiGa Am Rain'!$A$1:$Q$77</definedName>
    <definedName name="_xlnm.Print_Area" localSheetId="14">'Kalk Innengl.GS Deisenhofen'!$A$1:$O$254</definedName>
    <definedName name="_xlnm.Print_Area" localSheetId="17">'Kalk Innengl.KiGa Am Rain'!$A$1:$O$77</definedName>
    <definedName name="_xlnm.Print_Area" localSheetId="12">'Kalk UHR GS Deisenhofen'!$A$1:$P$252</definedName>
    <definedName name="_xlnm.Print_Area" localSheetId="15">'Kalk UHR KiGa Am Rain'!$A$1:$P$77</definedName>
    <definedName name="_xlnm.Print_Area" localSheetId="5">'Leistungswerte UHR Schulen'!$A$1:$I$38</definedName>
    <definedName name="_xlnm.Print_Area" localSheetId="3">'LV UHR Kitas'!$A$1:$Z$50</definedName>
    <definedName name="_xlnm.Print_Area" localSheetId="2">'LV UHR Schulen'!$A$1:$AK$50</definedName>
    <definedName name="_xlnm.Print_Area" localSheetId="1">'Preisblatt Los 1'!$A$1:$K$72</definedName>
    <definedName name="_xlnm.Print_Area" localSheetId="10">'SVS GR'!$A$1:$Q$79</definedName>
    <definedName name="_xlnm.Print_Area" localSheetId="11">'SVS Innenglas'!$A$1:$Q$79</definedName>
    <definedName name="_xlnm.Print_Area" localSheetId="9">'SVS UHR'!$A$1:$Q$79</definedName>
    <definedName name="_xlnm.Print_Area" localSheetId="18">Turnus!$A$1:$J$26</definedName>
    <definedName name="_xlnm.Print_Area" localSheetId="19">'verrechenbare Arbeitstage'!$A$1:$M$76</definedName>
    <definedName name="_xlnm.Print_Area" localSheetId="20">'verrechenbare Arbeitstage 2'!$A$1:$M$75</definedName>
    <definedName name="_xlnm.Print_Titles" localSheetId="13">'Kalk GR GS Deisenhofen'!$1:$7</definedName>
    <definedName name="_xlnm.Print_Titles" localSheetId="16">'Kalk GR KiGa Am Rain'!$1:$7</definedName>
    <definedName name="_xlnm.Print_Titles" localSheetId="14">'Kalk Innengl.GS Deisenhofen'!$1:$7</definedName>
    <definedName name="_xlnm.Print_Titles" localSheetId="17">'Kalk Innengl.KiGa Am Rain'!$1:$7</definedName>
    <definedName name="_xlnm.Print_Titles" localSheetId="12">'Kalk UHR GS Deisenhofen'!$1:$7</definedName>
    <definedName name="_xlnm.Print_Titles" localSheetId="15">'Kalk UHR KiGa Am Rain'!$1:$7</definedName>
    <definedName name="_xlnm.Print_Titles" localSheetId="8">'Leistungswerte GR Kigas'!$1:$4</definedName>
    <definedName name="_xlnm.Print_Titles" localSheetId="7">'Leistungswerte GR Schulen'!$1:$4</definedName>
    <definedName name="_xlnm.Print_Titles" localSheetId="6">'Leistungswerte UHR Kigas'!$1:$4</definedName>
    <definedName name="_xlnm.Print_Titles" localSheetId="5">'Leistungswerte UHR Schulen'!$1:$4</definedName>
    <definedName name="_xlnm.Print_Titles" localSheetId="4">'LV Grundreinigung'!$1:$1</definedName>
    <definedName name="_xlnm.Print_Titles" localSheetId="3">'LV UHR Kitas'!$1:$4</definedName>
    <definedName name="_xlnm.Print_Titles" localSheetId="2">'LV UHR Schulen'!$1:$4</definedName>
    <definedName name="_xlnm.Print_Titles" localSheetId="1">'Preisblatt Los 1'!$1:$6</definedName>
    <definedName name="_xlnm.Print_Titles" localSheetId="10">'SVS GR'!$1:$2</definedName>
    <definedName name="_xlnm.Print_Titles" localSheetId="11">'SVS Innenglas'!$1:$2</definedName>
    <definedName name="_xlnm.Print_Titles" localSheetId="9">'SVS UHR'!$1:$2</definedName>
    <definedName name="_xlnm.Print_Titles" localSheetId="19">'verrechenbare Arbeitstage'!$1:$4</definedName>
    <definedName name="_xlnm.Print_Titles" localSheetId="20">'verrechenbare Arbeitstage 2'!$1:$4</definedName>
    <definedName name="Leistung">Basisdaten!$B$8</definedName>
    <definedName name="Turnus">Turnus!$A$10:$B$26</definedName>
  </definedNames>
  <calcPr calcId="191029"/>
</workbook>
</file>

<file path=xl/calcChain.xml><?xml version="1.0" encoding="utf-8"?>
<calcChain xmlns="http://schemas.openxmlformats.org/spreadsheetml/2006/main">
  <c r="C9" i="134" l="1"/>
  <c r="C10" i="134"/>
  <c r="C11" i="134"/>
  <c r="C12" i="134"/>
  <c r="C13" i="134"/>
  <c r="C14" i="134"/>
  <c r="C15" i="134"/>
  <c r="C16" i="134"/>
  <c r="C17" i="134"/>
  <c r="C18" i="134"/>
  <c r="C19" i="134"/>
  <c r="C20" i="134"/>
  <c r="C21" i="134"/>
  <c r="C22" i="134"/>
  <c r="C23" i="134"/>
  <c r="C24" i="134"/>
  <c r="C25" i="134"/>
  <c r="C26" i="134"/>
  <c r="C27" i="134"/>
  <c r="C28" i="134"/>
  <c r="C29" i="134"/>
  <c r="C30" i="134"/>
  <c r="C31" i="134"/>
  <c r="C32" i="134"/>
  <c r="C33" i="134"/>
  <c r="C34" i="134"/>
  <c r="C35" i="134"/>
  <c r="C36" i="134"/>
  <c r="C37" i="134"/>
  <c r="C38" i="134"/>
  <c r="C39" i="134"/>
  <c r="C40" i="134"/>
  <c r="C41" i="134"/>
  <c r="C42" i="134"/>
  <c r="C43" i="134"/>
  <c r="C44" i="134"/>
  <c r="C45" i="134"/>
  <c r="C46" i="134"/>
  <c r="C47" i="134"/>
  <c r="C48" i="134"/>
  <c r="C49" i="134"/>
  <c r="C50" i="134"/>
  <c r="C51" i="134"/>
  <c r="C52" i="134"/>
  <c r="C53" i="134"/>
  <c r="C54" i="134"/>
  <c r="C55" i="134"/>
  <c r="C56" i="134"/>
  <c r="C57" i="134"/>
  <c r="C58" i="134"/>
  <c r="C59" i="134"/>
  <c r="C60" i="134"/>
  <c r="C61" i="134"/>
  <c r="C62" i="134"/>
  <c r="C63" i="134"/>
  <c r="C64" i="134"/>
  <c r="C65" i="134"/>
  <c r="C66" i="134"/>
  <c r="C67" i="134"/>
  <c r="C68" i="134"/>
  <c r="C69" i="134"/>
  <c r="C70" i="134"/>
  <c r="C71" i="134"/>
  <c r="C72" i="134"/>
  <c r="C73" i="134"/>
  <c r="C74" i="134"/>
  <c r="C75" i="134"/>
  <c r="C76" i="134"/>
  <c r="C8" i="134"/>
  <c r="C9" i="168"/>
  <c r="C10" i="168"/>
  <c r="C11" i="168"/>
  <c r="C12" i="168"/>
  <c r="C13" i="168"/>
  <c r="C14" i="168"/>
  <c r="C15" i="168"/>
  <c r="C16" i="168"/>
  <c r="C17" i="168"/>
  <c r="C18" i="168"/>
  <c r="C19" i="168"/>
  <c r="C20" i="168"/>
  <c r="C21" i="168"/>
  <c r="C22" i="168"/>
  <c r="C23" i="168"/>
  <c r="C24" i="168"/>
  <c r="C25" i="168"/>
  <c r="C26" i="168"/>
  <c r="C27" i="168"/>
  <c r="C28" i="168"/>
  <c r="C29" i="168"/>
  <c r="C30" i="168"/>
  <c r="C31" i="168"/>
  <c r="C32" i="168"/>
  <c r="C33" i="168"/>
  <c r="C34" i="168"/>
  <c r="C35" i="168"/>
  <c r="C36" i="168"/>
  <c r="C37" i="168"/>
  <c r="C38" i="168"/>
  <c r="C39" i="168"/>
  <c r="C40" i="168"/>
  <c r="C41" i="168"/>
  <c r="C42" i="168"/>
  <c r="C43" i="168"/>
  <c r="C44" i="168"/>
  <c r="C45" i="168"/>
  <c r="C46" i="168"/>
  <c r="C47" i="168"/>
  <c r="C48" i="168"/>
  <c r="C49" i="168"/>
  <c r="C50" i="168"/>
  <c r="C51" i="168"/>
  <c r="C52" i="168"/>
  <c r="C53" i="168"/>
  <c r="C54" i="168"/>
  <c r="C55" i="168"/>
  <c r="C56" i="168"/>
  <c r="C57" i="168"/>
  <c r="C58" i="168"/>
  <c r="C59" i="168"/>
  <c r="C60" i="168"/>
  <c r="C61" i="168"/>
  <c r="C62" i="168"/>
  <c r="C63" i="168"/>
  <c r="C64" i="168"/>
  <c r="C65" i="168"/>
  <c r="C66" i="168"/>
  <c r="C67" i="168"/>
  <c r="C68" i="168"/>
  <c r="C69" i="168"/>
  <c r="C70" i="168"/>
  <c r="C71" i="168"/>
  <c r="C72" i="168"/>
  <c r="C73" i="168"/>
  <c r="C74" i="168"/>
  <c r="C75" i="168"/>
  <c r="C76" i="168"/>
  <c r="C8" i="168"/>
  <c r="Q9" i="124" l="1"/>
  <c r="Q10" i="124"/>
  <c r="Q11" i="124"/>
  <c r="Q12" i="124"/>
  <c r="Q13" i="124"/>
  <c r="Q14" i="124"/>
  <c r="Q15" i="124"/>
  <c r="Q16" i="124"/>
  <c r="Q17" i="124"/>
  <c r="Q18" i="124"/>
  <c r="Q19" i="124"/>
  <c r="Q20" i="124"/>
  <c r="Q21" i="124"/>
  <c r="Q22" i="124"/>
  <c r="Q23" i="124"/>
  <c r="Q24" i="124"/>
  <c r="Q25" i="124"/>
  <c r="Q26" i="124"/>
  <c r="Q27" i="124"/>
  <c r="Q28" i="124"/>
  <c r="Q29" i="124"/>
  <c r="Q30" i="124"/>
  <c r="Q31" i="124"/>
  <c r="Q32" i="124"/>
  <c r="Q33" i="124"/>
  <c r="Q34" i="124"/>
  <c r="Q35" i="124"/>
  <c r="Q36" i="124"/>
  <c r="Q37" i="124"/>
  <c r="Q38" i="124"/>
  <c r="Q39" i="124"/>
  <c r="Q40" i="124"/>
  <c r="Q41" i="124"/>
  <c r="Q42" i="124"/>
  <c r="Q43" i="124"/>
  <c r="Q44" i="124"/>
  <c r="Q45" i="124"/>
  <c r="Q46" i="124"/>
  <c r="Q47" i="124"/>
  <c r="Q48" i="124"/>
  <c r="Q49" i="124"/>
  <c r="Q50" i="124"/>
  <c r="Q51" i="124"/>
  <c r="Q52" i="124"/>
  <c r="Q53" i="124"/>
  <c r="Q54" i="124"/>
  <c r="Q55" i="124"/>
  <c r="Q56" i="124"/>
  <c r="Q57" i="124"/>
  <c r="Q58" i="124"/>
  <c r="Q59" i="124"/>
  <c r="Q60" i="124"/>
  <c r="Q61" i="124"/>
  <c r="Q62" i="124"/>
  <c r="Q63" i="124"/>
  <c r="Q64" i="124"/>
  <c r="Q65" i="124"/>
  <c r="Q66" i="124"/>
  <c r="Q67" i="124"/>
  <c r="Q68" i="124"/>
  <c r="Q69" i="124"/>
  <c r="Q70" i="124"/>
  <c r="Q71" i="124"/>
  <c r="Q72" i="124"/>
  <c r="Q73" i="124"/>
  <c r="Q74" i="124"/>
  <c r="Q75" i="124"/>
  <c r="Q76" i="124"/>
  <c r="Q77" i="124"/>
  <c r="Q78" i="124"/>
  <c r="Q79" i="124"/>
  <c r="Q80" i="124"/>
  <c r="Q81" i="124"/>
  <c r="Q82" i="124"/>
  <c r="Q83" i="124"/>
  <c r="Q84" i="124"/>
  <c r="Q85" i="124"/>
  <c r="Q86" i="124"/>
  <c r="Q87" i="124"/>
  <c r="Q88" i="124"/>
  <c r="Q89" i="124"/>
  <c r="Q90" i="124"/>
  <c r="Q91" i="124"/>
  <c r="Q92" i="124"/>
  <c r="Q93" i="124"/>
  <c r="Q94" i="124"/>
  <c r="Q95" i="124"/>
  <c r="Q96" i="124"/>
  <c r="Q97" i="124"/>
  <c r="Q98" i="124"/>
  <c r="Q99" i="124"/>
  <c r="Q100" i="124"/>
  <c r="Q101" i="124"/>
  <c r="Q102" i="124"/>
  <c r="Q103" i="124"/>
  <c r="Q104" i="124"/>
  <c r="Q105" i="124"/>
  <c r="Q106" i="124"/>
  <c r="Q107" i="124"/>
  <c r="Q108" i="124"/>
  <c r="Q109" i="124"/>
  <c r="Q110" i="124"/>
  <c r="Q111" i="124"/>
  <c r="Q112" i="124"/>
  <c r="Q113" i="124"/>
  <c r="Q114" i="124"/>
  <c r="Q115" i="124"/>
  <c r="Q116" i="124"/>
  <c r="Q117" i="124"/>
  <c r="Q118" i="124"/>
  <c r="Q119" i="124"/>
  <c r="Q120" i="124"/>
  <c r="Q121" i="124"/>
  <c r="Q122" i="124"/>
  <c r="Q123" i="124"/>
  <c r="Q124" i="124"/>
  <c r="Q125" i="124"/>
  <c r="Q126" i="124"/>
  <c r="Q127" i="124"/>
  <c r="Q128" i="124"/>
  <c r="Q129" i="124"/>
  <c r="Q130" i="124"/>
  <c r="Q131" i="124"/>
  <c r="Q132" i="124"/>
  <c r="Q133" i="124"/>
  <c r="Q134" i="124"/>
  <c r="Q135" i="124"/>
  <c r="Q136" i="124"/>
  <c r="Q137" i="124"/>
  <c r="Q138" i="124"/>
  <c r="Q139" i="124"/>
  <c r="Q140" i="124"/>
  <c r="Q141" i="124"/>
  <c r="Q142" i="124"/>
  <c r="Q143" i="124"/>
  <c r="Q144" i="124"/>
  <c r="Q145" i="124"/>
  <c r="Q146" i="124"/>
  <c r="Q147" i="124"/>
  <c r="Q148" i="124"/>
  <c r="Q149" i="124"/>
  <c r="Q150" i="124"/>
  <c r="Q151" i="124"/>
  <c r="Q152" i="124"/>
  <c r="Q153" i="124"/>
  <c r="Q154" i="124"/>
  <c r="Q155" i="124"/>
  <c r="Q156" i="124"/>
  <c r="Q157" i="124"/>
  <c r="Q158" i="124"/>
  <c r="Q159" i="124"/>
  <c r="Q160" i="124"/>
  <c r="Q161" i="124"/>
  <c r="Q162" i="124"/>
  <c r="Q163" i="124"/>
  <c r="Q164" i="124"/>
  <c r="Q165" i="124"/>
  <c r="Q166" i="124"/>
  <c r="Q167" i="124"/>
  <c r="Q168" i="124"/>
  <c r="Q169" i="124"/>
  <c r="Q170" i="124"/>
  <c r="Q171" i="124"/>
  <c r="Q172" i="124"/>
  <c r="Q173" i="124"/>
  <c r="Q174" i="124"/>
  <c r="Q175" i="124"/>
  <c r="Q176" i="124"/>
  <c r="Q177" i="124"/>
  <c r="Q178" i="124"/>
  <c r="Q179" i="124"/>
  <c r="Q180" i="124"/>
  <c r="Q181" i="124"/>
  <c r="Q182" i="124"/>
  <c r="Q183" i="124"/>
  <c r="Q184" i="124"/>
  <c r="Q185" i="124"/>
  <c r="Q186" i="124"/>
  <c r="Q187" i="124"/>
  <c r="Q188" i="124"/>
  <c r="Q189" i="124"/>
  <c r="Q190" i="124"/>
  <c r="Q191" i="124"/>
  <c r="Q192" i="124"/>
  <c r="Q193" i="124"/>
  <c r="Q194" i="124"/>
  <c r="Q195" i="124"/>
  <c r="Q196" i="124"/>
  <c r="Q197" i="124"/>
  <c r="Q198" i="124"/>
  <c r="Q199" i="124"/>
  <c r="Q200" i="124"/>
  <c r="Q201" i="124"/>
  <c r="Q202" i="124"/>
  <c r="Q203" i="124"/>
  <c r="Q204" i="124"/>
  <c r="Q205" i="124"/>
  <c r="Q206" i="124"/>
  <c r="Q207" i="124"/>
  <c r="Q208" i="124"/>
  <c r="Q209" i="124"/>
  <c r="Q210" i="124"/>
  <c r="Q211" i="124"/>
  <c r="Q212" i="124"/>
  <c r="Q213" i="124"/>
  <c r="Q214" i="124"/>
  <c r="Q215" i="124"/>
  <c r="Q216" i="124"/>
  <c r="Q217" i="124"/>
  <c r="Q218" i="124"/>
  <c r="Q219" i="124"/>
  <c r="Q220" i="124"/>
  <c r="Q221" i="124"/>
  <c r="Q222" i="124"/>
  <c r="Q223" i="124"/>
  <c r="Q224" i="124"/>
  <c r="Q225" i="124"/>
  <c r="Q226" i="124"/>
  <c r="Q227" i="124"/>
  <c r="Q228" i="124"/>
  <c r="Q229" i="124"/>
  <c r="Q230" i="124"/>
  <c r="Q231" i="124"/>
  <c r="Q232" i="124"/>
  <c r="Q233" i="124"/>
  <c r="Q234" i="124"/>
  <c r="Q235" i="124"/>
  <c r="Q236" i="124"/>
  <c r="Q237" i="124"/>
  <c r="Q238" i="124"/>
  <c r="Q239" i="124"/>
  <c r="Q240" i="124"/>
  <c r="Q241" i="124"/>
  <c r="Q242" i="124"/>
  <c r="Q243" i="124"/>
  <c r="Q244" i="124"/>
  <c r="Q245" i="124"/>
  <c r="Q246" i="124"/>
  <c r="Q247" i="124"/>
  <c r="Q248" i="124"/>
  <c r="Q249" i="124"/>
  <c r="Q250" i="124"/>
  <c r="Q251" i="124"/>
  <c r="Q8" i="124"/>
  <c r="E24" i="102"/>
  <c r="C24" i="102"/>
  <c r="B7" i="156" l="1"/>
  <c r="C7" i="156" s="1"/>
  <c r="E36" i="101" l="1"/>
  <c r="C36" i="101"/>
  <c r="C24" i="157" l="1"/>
  <c r="C19" i="157" l="1"/>
  <c r="E19" i="157"/>
  <c r="C16" i="157"/>
  <c r="E16" i="157"/>
  <c r="E6" i="101" l="1"/>
  <c r="C6" i="101"/>
  <c r="E17" i="102"/>
  <c r="C17" i="102"/>
  <c r="E10" i="102"/>
  <c r="C10" i="102"/>
  <c r="E23" i="102"/>
  <c r="C23" i="102"/>
  <c r="E9" i="102"/>
  <c r="C9" i="102"/>
  <c r="J243" i="172" l="1"/>
  <c r="J242" i="172"/>
  <c r="J241" i="172"/>
  <c r="J240" i="172"/>
  <c r="J239" i="172"/>
  <c r="J190" i="172"/>
  <c r="J189" i="172"/>
  <c r="J188" i="172"/>
  <c r="J187" i="172"/>
  <c r="J186" i="172"/>
  <c r="J185" i="172"/>
  <c r="J184" i="172"/>
  <c r="J183" i="172"/>
  <c r="J182" i="172"/>
  <c r="J181" i="172"/>
  <c r="J180" i="172"/>
  <c r="J179" i="172"/>
  <c r="J178" i="172"/>
  <c r="J167" i="172"/>
  <c r="J166" i="172"/>
  <c r="J165" i="172"/>
  <c r="J164" i="172"/>
  <c r="J163" i="172"/>
  <c r="J162" i="172"/>
  <c r="J161" i="172"/>
  <c r="J160" i="172"/>
  <c r="J159" i="172"/>
  <c r="J158" i="172"/>
  <c r="J157" i="172"/>
  <c r="J156" i="172"/>
  <c r="J155" i="172"/>
  <c r="J154" i="172"/>
  <c r="J153" i="172"/>
  <c r="J152" i="172"/>
  <c r="J151" i="172"/>
  <c r="J150" i="172"/>
  <c r="J149" i="172"/>
  <c r="J83" i="172"/>
  <c r="J82" i="172"/>
  <c r="J81" i="172"/>
  <c r="J80" i="172"/>
  <c r="J79" i="172"/>
  <c r="J78" i="172"/>
  <c r="J77" i="172"/>
  <c r="J76" i="172"/>
  <c r="J75" i="172"/>
  <c r="J74" i="172"/>
  <c r="J73" i="172"/>
  <c r="J72" i="172"/>
  <c r="J56" i="172"/>
  <c r="J55" i="172"/>
  <c r="J54" i="172"/>
  <c r="J53" i="172"/>
  <c r="J52" i="172"/>
  <c r="J51" i="172"/>
  <c r="J50" i="172"/>
  <c r="E9" i="125" l="1"/>
  <c r="E16" i="125"/>
  <c r="E36" i="125"/>
  <c r="E37" i="125"/>
  <c r="E212" i="125"/>
  <c r="E213" i="125"/>
  <c r="E202" i="125"/>
  <c r="E191" i="125"/>
  <c r="E109" i="125"/>
  <c r="E103" i="125"/>
  <c r="E85" i="125"/>
  <c r="E87" i="125"/>
  <c r="E86" i="125"/>
  <c r="E123" i="125"/>
  <c r="E173" i="125"/>
  <c r="E161" i="125"/>
  <c r="E172" i="125"/>
  <c r="E190" i="125"/>
  <c r="E167" i="125"/>
  <c r="E158" i="125"/>
  <c r="E153" i="125"/>
  <c r="E144" i="125"/>
  <c r="E143" i="125"/>
  <c r="E145" i="125"/>
  <c r="E125" i="125"/>
  <c r="E126" i="125"/>
  <c r="E166" i="125"/>
  <c r="E83" i="125"/>
  <c r="E82" i="125"/>
  <c r="E53" i="125"/>
  <c r="E71" i="125"/>
  <c r="E50" i="125"/>
  <c r="E47" i="125"/>
  <c r="E46" i="125"/>
  <c r="E40" i="125"/>
  <c r="E58" i="125"/>
  <c r="E59" i="125"/>
  <c r="E65" i="125"/>
  <c r="E73" i="125"/>
  <c r="AX76" i="133" l="1"/>
  <c r="AX75" i="133"/>
  <c r="AX74" i="133"/>
  <c r="AX73" i="133"/>
  <c r="AX72" i="133"/>
  <c r="AX71" i="133"/>
  <c r="AX70" i="133"/>
  <c r="AX69" i="133"/>
  <c r="AX68" i="133"/>
  <c r="AX67" i="133"/>
  <c r="AX66" i="133"/>
  <c r="AX65" i="133"/>
  <c r="AX64" i="133"/>
  <c r="AX63" i="133"/>
  <c r="AX62" i="133"/>
  <c r="AX61" i="133"/>
  <c r="AX60" i="133"/>
  <c r="AX59" i="133"/>
  <c r="AX58" i="133"/>
  <c r="AX57" i="133"/>
  <c r="AX56" i="133"/>
  <c r="AX55" i="133"/>
  <c r="AX54" i="133"/>
  <c r="AX53" i="133"/>
  <c r="AX52" i="133"/>
  <c r="AX51" i="133"/>
  <c r="AX50" i="133"/>
  <c r="AX49" i="133"/>
  <c r="AX48" i="133"/>
  <c r="AX47" i="133"/>
  <c r="AX46" i="133"/>
  <c r="AX45" i="133"/>
  <c r="AX44" i="133"/>
  <c r="AX43" i="133"/>
  <c r="AX42" i="133"/>
  <c r="AX41" i="133"/>
  <c r="AX40" i="133"/>
  <c r="AX39" i="133"/>
  <c r="AX38" i="133"/>
  <c r="AX37" i="133"/>
  <c r="AX36" i="133"/>
  <c r="AX35" i="133"/>
  <c r="AX34" i="133"/>
  <c r="AX33" i="133"/>
  <c r="AX32" i="133"/>
  <c r="AX31" i="133"/>
  <c r="AX30" i="133"/>
  <c r="AX29" i="133"/>
  <c r="AX28" i="133"/>
  <c r="AX27" i="133"/>
  <c r="AX26" i="133"/>
  <c r="AX25" i="133"/>
  <c r="AX24" i="133"/>
  <c r="AX23" i="133"/>
  <c r="AX22" i="133"/>
  <c r="AX21" i="133"/>
  <c r="AX20" i="133"/>
  <c r="AX19" i="133"/>
  <c r="AX18" i="133"/>
  <c r="AX17" i="133"/>
  <c r="AX16" i="133"/>
  <c r="AX15" i="133"/>
  <c r="AX14" i="133"/>
  <c r="AX13" i="133"/>
  <c r="AX12" i="133"/>
  <c r="AX11" i="133"/>
  <c r="AX10" i="133"/>
  <c r="AX9" i="133"/>
  <c r="AX8" i="133"/>
  <c r="S7" i="133"/>
  <c r="T6" i="133"/>
  <c r="U6" i="133" s="1"/>
  <c r="V6" i="133" l="1"/>
  <c r="U7" i="133"/>
  <c r="T7" i="133"/>
  <c r="K72" i="134"/>
  <c r="H72" i="134"/>
  <c r="D72" i="134"/>
  <c r="B72" i="134"/>
  <c r="A72" i="134"/>
  <c r="K69" i="134"/>
  <c r="H69" i="134"/>
  <c r="D69" i="134"/>
  <c r="B69" i="134"/>
  <c r="A69" i="134"/>
  <c r="K37" i="134"/>
  <c r="H37" i="134"/>
  <c r="D37" i="134"/>
  <c r="B37" i="134"/>
  <c r="A37" i="134"/>
  <c r="D14" i="134"/>
  <c r="K14" i="134"/>
  <c r="H14" i="134"/>
  <c r="B14" i="134"/>
  <c r="A14" i="134"/>
  <c r="K13" i="134"/>
  <c r="H13" i="134"/>
  <c r="D13" i="134"/>
  <c r="B13" i="134"/>
  <c r="A13" i="134"/>
  <c r="K12" i="134"/>
  <c r="H12" i="134"/>
  <c r="D12" i="134"/>
  <c r="B12" i="134"/>
  <c r="A12" i="134"/>
  <c r="K11" i="134"/>
  <c r="H11" i="134"/>
  <c r="D11" i="134"/>
  <c r="B11" i="134"/>
  <c r="A11" i="134"/>
  <c r="K10" i="134"/>
  <c r="H10" i="134"/>
  <c r="D10" i="134"/>
  <c r="B10" i="134"/>
  <c r="A10" i="134"/>
  <c r="A9" i="125"/>
  <c r="B9" i="125"/>
  <c r="C9" i="125"/>
  <c r="D9" i="125"/>
  <c r="A10" i="125"/>
  <c r="B10" i="125"/>
  <c r="C10" i="125"/>
  <c r="D10" i="125"/>
  <c r="A11" i="125"/>
  <c r="B11" i="125"/>
  <c r="C11" i="125"/>
  <c r="D11" i="125"/>
  <c r="A12" i="125"/>
  <c r="B12" i="125"/>
  <c r="C12" i="125"/>
  <c r="D12" i="125"/>
  <c r="A13" i="125"/>
  <c r="B13" i="125"/>
  <c r="C13" i="125"/>
  <c r="D13" i="125"/>
  <c r="A14" i="125"/>
  <c r="B14" i="125"/>
  <c r="C14" i="125"/>
  <c r="D14" i="125"/>
  <c r="A15" i="125"/>
  <c r="B15" i="125"/>
  <c r="C15" i="125"/>
  <c r="D15" i="125"/>
  <c r="A16" i="125"/>
  <c r="B16" i="125"/>
  <c r="C16" i="125"/>
  <c r="D16" i="125"/>
  <c r="A17" i="125"/>
  <c r="B17" i="125"/>
  <c r="C17" i="125"/>
  <c r="D17" i="125"/>
  <c r="A18" i="125"/>
  <c r="B18" i="125"/>
  <c r="C18" i="125"/>
  <c r="D18" i="125"/>
  <c r="A19" i="125"/>
  <c r="B19" i="125"/>
  <c r="C19" i="125"/>
  <c r="D19" i="125"/>
  <c r="A20" i="125"/>
  <c r="B20" i="125"/>
  <c r="C20" i="125"/>
  <c r="D20" i="125"/>
  <c r="A21" i="125"/>
  <c r="B21" i="125"/>
  <c r="C21" i="125"/>
  <c r="D21" i="125"/>
  <c r="A22" i="125"/>
  <c r="B22" i="125"/>
  <c r="C22" i="125"/>
  <c r="D22" i="125"/>
  <c r="A23" i="125"/>
  <c r="B23" i="125"/>
  <c r="C23" i="125"/>
  <c r="D23" i="125"/>
  <c r="A24" i="125"/>
  <c r="B24" i="125"/>
  <c r="C24" i="125"/>
  <c r="D24" i="125"/>
  <c r="A25" i="125"/>
  <c r="B25" i="125"/>
  <c r="C25" i="125"/>
  <c r="D25" i="125"/>
  <c r="A26" i="125"/>
  <c r="B26" i="125"/>
  <c r="C26" i="125"/>
  <c r="D26" i="125"/>
  <c r="A27" i="125"/>
  <c r="B27" i="125"/>
  <c r="C27" i="125"/>
  <c r="D27" i="125"/>
  <c r="A28" i="125"/>
  <c r="B28" i="125"/>
  <c r="C28" i="125"/>
  <c r="D28" i="125"/>
  <c r="A29" i="125"/>
  <c r="B29" i="125"/>
  <c r="C29" i="125"/>
  <c r="D29" i="125"/>
  <c r="A30" i="125"/>
  <c r="B30" i="125"/>
  <c r="C30" i="125"/>
  <c r="D30" i="125"/>
  <c r="A31" i="125"/>
  <c r="B31" i="125"/>
  <c r="C31" i="125"/>
  <c r="D31" i="125"/>
  <c r="A32" i="125"/>
  <c r="B32" i="125"/>
  <c r="C32" i="125"/>
  <c r="D32" i="125"/>
  <c r="A33" i="125"/>
  <c r="B33" i="125"/>
  <c r="C33" i="125"/>
  <c r="D33" i="125"/>
  <c r="A34" i="125"/>
  <c r="B34" i="125"/>
  <c r="C34" i="125"/>
  <c r="D34" i="125"/>
  <c r="A35" i="125"/>
  <c r="B35" i="125"/>
  <c r="C35" i="125"/>
  <c r="D35" i="125"/>
  <c r="A36" i="125"/>
  <c r="B36" i="125"/>
  <c r="C36" i="125"/>
  <c r="D36" i="125"/>
  <c r="A37" i="125"/>
  <c r="B37" i="125"/>
  <c r="C37" i="125"/>
  <c r="D37" i="125"/>
  <c r="A38" i="125"/>
  <c r="B38" i="125"/>
  <c r="C38" i="125"/>
  <c r="D38" i="125"/>
  <c r="A39" i="125"/>
  <c r="B39" i="125"/>
  <c r="C39" i="125"/>
  <c r="D39" i="125"/>
  <c r="A40" i="125"/>
  <c r="B40" i="125"/>
  <c r="C40" i="125"/>
  <c r="D40" i="125"/>
  <c r="A41" i="125"/>
  <c r="B41" i="125"/>
  <c r="C41" i="125"/>
  <c r="D41" i="125"/>
  <c r="A42" i="125"/>
  <c r="B42" i="125"/>
  <c r="C42" i="125"/>
  <c r="D42" i="125"/>
  <c r="A43" i="125"/>
  <c r="B43" i="125"/>
  <c r="C43" i="125"/>
  <c r="D43" i="125"/>
  <c r="A44" i="125"/>
  <c r="B44" i="125"/>
  <c r="C44" i="125"/>
  <c r="D44" i="125"/>
  <c r="A45" i="125"/>
  <c r="B45" i="125"/>
  <c r="C45" i="125"/>
  <c r="D45" i="125"/>
  <c r="A46" i="125"/>
  <c r="B46" i="125"/>
  <c r="C46" i="125"/>
  <c r="D46" i="125"/>
  <c r="A47" i="125"/>
  <c r="B47" i="125"/>
  <c r="C47" i="125"/>
  <c r="D47" i="125"/>
  <c r="A48" i="125"/>
  <c r="B48" i="125"/>
  <c r="C48" i="125"/>
  <c r="D48" i="125"/>
  <c r="A49" i="125"/>
  <c r="B49" i="125"/>
  <c r="C49" i="125"/>
  <c r="D49" i="125"/>
  <c r="A50" i="125"/>
  <c r="B50" i="125"/>
  <c r="C50" i="125"/>
  <c r="D50" i="125"/>
  <c r="A51" i="125"/>
  <c r="B51" i="125"/>
  <c r="C51" i="125"/>
  <c r="D51" i="125"/>
  <c r="A52" i="125"/>
  <c r="B52" i="125"/>
  <c r="C52" i="125"/>
  <c r="D52" i="125"/>
  <c r="A53" i="125"/>
  <c r="B53" i="125"/>
  <c r="C53" i="125"/>
  <c r="D53" i="125"/>
  <c r="A54" i="125"/>
  <c r="B54" i="125"/>
  <c r="C54" i="125"/>
  <c r="D54" i="125"/>
  <c r="A55" i="125"/>
  <c r="B55" i="125"/>
  <c r="C55" i="125"/>
  <c r="D55" i="125"/>
  <c r="A56" i="125"/>
  <c r="B56" i="125"/>
  <c r="C56" i="125"/>
  <c r="D56" i="125"/>
  <c r="A57" i="125"/>
  <c r="B57" i="125"/>
  <c r="C57" i="125"/>
  <c r="D57" i="125"/>
  <c r="A58" i="125"/>
  <c r="B58" i="125"/>
  <c r="C58" i="125"/>
  <c r="D58" i="125"/>
  <c r="A59" i="125"/>
  <c r="B59" i="125"/>
  <c r="C59" i="125"/>
  <c r="D59" i="125"/>
  <c r="A60" i="125"/>
  <c r="B60" i="125"/>
  <c r="C60" i="125"/>
  <c r="D60" i="125"/>
  <c r="A61" i="125"/>
  <c r="B61" i="125"/>
  <c r="C61" i="125"/>
  <c r="D61" i="125"/>
  <c r="A62" i="125"/>
  <c r="B62" i="125"/>
  <c r="C62" i="125"/>
  <c r="D62" i="125"/>
  <c r="A63" i="125"/>
  <c r="B63" i="125"/>
  <c r="C63" i="125"/>
  <c r="D63" i="125"/>
  <c r="A64" i="125"/>
  <c r="B64" i="125"/>
  <c r="C64" i="125"/>
  <c r="D64" i="125"/>
  <c r="A65" i="125"/>
  <c r="B65" i="125"/>
  <c r="C65" i="125"/>
  <c r="D65" i="125"/>
  <c r="A66" i="125"/>
  <c r="B66" i="125"/>
  <c r="C66" i="125"/>
  <c r="D66" i="125"/>
  <c r="A67" i="125"/>
  <c r="B67" i="125"/>
  <c r="C67" i="125"/>
  <c r="D67" i="125"/>
  <c r="A68" i="125"/>
  <c r="B68" i="125"/>
  <c r="C68" i="125"/>
  <c r="D68" i="125"/>
  <c r="A69" i="125"/>
  <c r="B69" i="125"/>
  <c r="C69" i="125"/>
  <c r="D69" i="125"/>
  <c r="A70" i="125"/>
  <c r="B70" i="125"/>
  <c r="C70" i="125"/>
  <c r="D70" i="125"/>
  <c r="A71" i="125"/>
  <c r="B71" i="125"/>
  <c r="C71" i="125"/>
  <c r="D71" i="125"/>
  <c r="A72" i="125"/>
  <c r="B72" i="125"/>
  <c r="C72" i="125"/>
  <c r="D72" i="125"/>
  <c r="A73" i="125"/>
  <c r="B73" i="125"/>
  <c r="C73" i="125"/>
  <c r="D73" i="125"/>
  <c r="A74" i="125"/>
  <c r="B74" i="125"/>
  <c r="C74" i="125"/>
  <c r="D74" i="125"/>
  <c r="A75" i="125"/>
  <c r="B75" i="125"/>
  <c r="C75" i="125"/>
  <c r="D75" i="125"/>
  <c r="A76" i="125"/>
  <c r="B76" i="125"/>
  <c r="C76" i="125"/>
  <c r="D76" i="125"/>
  <c r="A77" i="125"/>
  <c r="B77" i="125"/>
  <c r="C77" i="125"/>
  <c r="D77" i="125"/>
  <c r="A78" i="125"/>
  <c r="B78" i="125"/>
  <c r="C78" i="125"/>
  <c r="D78" i="125"/>
  <c r="A79" i="125"/>
  <c r="B79" i="125"/>
  <c r="C79" i="125"/>
  <c r="D79" i="125"/>
  <c r="A80" i="125"/>
  <c r="B80" i="125"/>
  <c r="C80" i="125"/>
  <c r="D80" i="125"/>
  <c r="A81" i="125"/>
  <c r="B81" i="125"/>
  <c r="C81" i="125"/>
  <c r="D81" i="125"/>
  <c r="A82" i="125"/>
  <c r="B82" i="125"/>
  <c r="C82" i="125"/>
  <c r="D82" i="125"/>
  <c r="A83" i="125"/>
  <c r="B83" i="125"/>
  <c r="C83" i="125"/>
  <c r="D83" i="125"/>
  <c r="A84" i="125"/>
  <c r="B84" i="125"/>
  <c r="C84" i="125"/>
  <c r="D84" i="125"/>
  <c r="A85" i="125"/>
  <c r="B85" i="125"/>
  <c r="C85" i="125"/>
  <c r="D85" i="125"/>
  <c r="A86" i="125"/>
  <c r="B86" i="125"/>
  <c r="C86" i="125"/>
  <c r="D86" i="125"/>
  <c r="A87" i="125"/>
  <c r="B87" i="125"/>
  <c r="C87" i="125"/>
  <c r="D87" i="125"/>
  <c r="A88" i="125"/>
  <c r="B88" i="125"/>
  <c r="C88" i="125"/>
  <c r="D88" i="125"/>
  <c r="A89" i="125"/>
  <c r="B89" i="125"/>
  <c r="C89" i="125"/>
  <c r="D89" i="125"/>
  <c r="A90" i="125"/>
  <c r="B90" i="125"/>
  <c r="C90" i="125"/>
  <c r="D90" i="125"/>
  <c r="A91" i="125"/>
  <c r="B91" i="125"/>
  <c r="C91" i="125"/>
  <c r="D91" i="125"/>
  <c r="A92" i="125"/>
  <c r="B92" i="125"/>
  <c r="C92" i="125"/>
  <c r="D92" i="125"/>
  <c r="A93" i="125"/>
  <c r="B93" i="125"/>
  <c r="C93" i="125"/>
  <c r="D93" i="125"/>
  <c r="A94" i="125"/>
  <c r="B94" i="125"/>
  <c r="C94" i="125"/>
  <c r="D94" i="125"/>
  <c r="A95" i="125"/>
  <c r="B95" i="125"/>
  <c r="C95" i="125"/>
  <c r="D95" i="125"/>
  <c r="A96" i="125"/>
  <c r="B96" i="125"/>
  <c r="C96" i="125"/>
  <c r="D96" i="125"/>
  <c r="A97" i="125"/>
  <c r="B97" i="125"/>
  <c r="C97" i="125"/>
  <c r="D97" i="125"/>
  <c r="A98" i="125"/>
  <c r="B98" i="125"/>
  <c r="C98" i="125"/>
  <c r="D98" i="125"/>
  <c r="A99" i="125"/>
  <c r="B99" i="125"/>
  <c r="C99" i="125"/>
  <c r="D99" i="125"/>
  <c r="A100" i="125"/>
  <c r="B100" i="125"/>
  <c r="C100" i="125"/>
  <c r="D100" i="125"/>
  <c r="A101" i="125"/>
  <c r="B101" i="125"/>
  <c r="C101" i="125"/>
  <c r="D101" i="125"/>
  <c r="A102" i="125"/>
  <c r="B102" i="125"/>
  <c r="C102" i="125"/>
  <c r="D102" i="125"/>
  <c r="A103" i="125"/>
  <c r="B103" i="125"/>
  <c r="C103" i="125"/>
  <c r="D103" i="125"/>
  <c r="A104" i="125"/>
  <c r="B104" i="125"/>
  <c r="C104" i="125"/>
  <c r="D104" i="125"/>
  <c r="A105" i="125"/>
  <c r="B105" i="125"/>
  <c r="C105" i="125"/>
  <c r="D105" i="125"/>
  <c r="A106" i="125"/>
  <c r="B106" i="125"/>
  <c r="C106" i="125"/>
  <c r="D106" i="125"/>
  <c r="A107" i="125"/>
  <c r="B107" i="125"/>
  <c r="C107" i="125"/>
  <c r="D107" i="125"/>
  <c r="A108" i="125"/>
  <c r="B108" i="125"/>
  <c r="C108" i="125"/>
  <c r="D108" i="125"/>
  <c r="A109" i="125"/>
  <c r="B109" i="125"/>
  <c r="C109" i="125"/>
  <c r="D109" i="125"/>
  <c r="A110" i="125"/>
  <c r="B110" i="125"/>
  <c r="C110" i="125"/>
  <c r="D110" i="125"/>
  <c r="A111" i="125"/>
  <c r="B111" i="125"/>
  <c r="C111" i="125"/>
  <c r="D111" i="125"/>
  <c r="A112" i="125"/>
  <c r="B112" i="125"/>
  <c r="C112" i="125"/>
  <c r="D112" i="125"/>
  <c r="A113" i="125"/>
  <c r="B113" i="125"/>
  <c r="C113" i="125"/>
  <c r="D113" i="125"/>
  <c r="A114" i="125"/>
  <c r="B114" i="125"/>
  <c r="C114" i="125"/>
  <c r="D114" i="125"/>
  <c r="A115" i="125"/>
  <c r="B115" i="125"/>
  <c r="C115" i="125"/>
  <c r="D115" i="125"/>
  <c r="A116" i="125"/>
  <c r="B116" i="125"/>
  <c r="C116" i="125"/>
  <c r="D116" i="125"/>
  <c r="A117" i="125"/>
  <c r="B117" i="125"/>
  <c r="C117" i="125"/>
  <c r="D117" i="125"/>
  <c r="A118" i="125"/>
  <c r="B118" i="125"/>
  <c r="C118" i="125"/>
  <c r="D118" i="125"/>
  <c r="A119" i="125"/>
  <c r="B119" i="125"/>
  <c r="C119" i="125"/>
  <c r="D119" i="125"/>
  <c r="A120" i="125"/>
  <c r="B120" i="125"/>
  <c r="C120" i="125"/>
  <c r="D120" i="125"/>
  <c r="A121" i="125"/>
  <c r="B121" i="125"/>
  <c r="C121" i="125"/>
  <c r="D121" i="125"/>
  <c r="A122" i="125"/>
  <c r="B122" i="125"/>
  <c r="C122" i="125"/>
  <c r="D122" i="125"/>
  <c r="A123" i="125"/>
  <c r="B123" i="125"/>
  <c r="C123" i="125"/>
  <c r="D123" i="125"/>
  <c r="A124" i="125"/>
  <c r="B124" i="125"/>
  <c r="C124" i="125"/>
  <c r="D124" i="125"/>
  <c r="A125" i="125"/>
  <c r="B125" i="125"/>
  <c r="C125" i="125"/>
  <c r="D125" i="125"/>
  <c r="A126" i="125"/>
  <c r="B126" i="125"/>
  <c r="C126" i="125"/>
  <c r="D126" i="125"/>
  <c r="A127" i="125"/>
  <c r="B127" i="125"/>
  <c r="C127" i="125"/>
  <c r="D127" i="125"/>
  <c r="A128" i="125"/>
  <c r="B128" i="125"/>
  <c r="C128" i="125"/>
  <c r="D128" i="125"/>
  <c r="A129" i="125"/>
  <c r="B129" i="125"/>
  <c r="C129" i="125"/>
  <c r="D129" i="125"/>
  <c r="A130" i="125"/>
  <c r="B130" i="125"/>
  <c r="C130" i="125"/>
  <c r="D130" i="125"/>
  <c r="A131" i="125"/>
  <c r="B131" i="125"/>
  <c r="C131" i="125"/>
  <c r="D131" i="125"/>
  <c r="A132" i="125"/>
  <c r="B132" i="125"/>
  <c r="C132" i="125"/>
  <c r="D132" i="125"/>
  <c r="A133" i="125"/>
  <c r="B133" i="125"/>
  <c r="C133" i="125"/>
  <c r="D133" i="125"/>
  <c r="A134" i="125"/>
  <c r="B134" i="125"/>
  <c r="C134" i="125"/>
  <c r="D134" i="125"/>
  <c r="A135" i="125"/>
  <c r="B135" i="125"/>
  <c r="C135" i="125"/>
  <c r="D135" i="125"/>
  <c r="A136" i="125"/>
  <c r="B136" i="125"/>
  <c r="C136" i="125"/>
  <c r="D136" i="125"/>
  <c r="A137" i="125"/>
  <c r="B137" i="125"/>
  <c r="C137" i="125"/>
  <c r="D137" i="125"/>
  <c r="A138" i="125"/>
  <c r="B138" i="125"/>
  <c r="C138" i="125"/>
  <c r="D138" i="125"/>
  <c r="A139" i="125"/>
  <c r="B139" i="125"/>
  <c r="C139" i="125"/>
  <c r="D139" i="125"/>
  <c r="A140" i="125"/>
  <c r="B140" i="125"/>
  <c r="C140" i="125"/>
  <c r="D140" i="125"/>
  <c r="A141" i="125"/>
  <c r="B141" i="125"/>
  <c r="C141" i="125"/>
  <c r="D141" i="125"/>
  <c r="A142" i="125"/>
  <c r="B142" i="125"/>
  <c r="C142" i="125"/>
  <c r="D142" i="125"/>
  <c r="A143" i="125"/>
  <c r="B143" i="125"/>
  <c r="C143" i="125"/>
  <c r="D143" i="125"/>
  <c r="A144" i="125"/>
  <c r="B144" i="125"/>
  <c r="C144" i="125"/>
  <c r="D144" i="125"/>
  <c r="A145" i="125"/>
  <c r="B145" i="125"/>
  <c r="C145" i="125"/>
  <c r="D145" i="125"/>
  <c r="A146" i="125"/>
  <c r="B146" i="125"/>
  <c r="C146" i="125"/>
  <c r="D146" i="125"/>
  <c r="A147" i="125"/>
  <c r="B147" i="125"/>
  <c r="C147" i="125"/>
  <c r="D147" i="125"/>
  <c r="A148" i="125"/>
  <c r="B148" i="125"/>
  <c r="C148" i="125"/>
  <c r="D148" i="125"/>
  <c r="A149" i="125"/>
  <c r="B149" i="125"/>
  <c r="C149" i="125"/>
  <c r="D149" i="125"/>
  <c r="A150" i="125"/>
  <c r="B150" i="125"/>
  <c r="C150" i="125"/>
  <c r="D150" i="125"/>
  <c r="A151" i="125"/>
  <c r="B151" i="125"/>
  <c r="C151" i="125"/>
  <c r="D151" i="125"/>
  <c r="A152" i="125"/>
  <c r="B152" i="125"/>
  <c r="C152" i="125"/>
  <c r="D152" i="125"/>
  <c r="A153" i="125"/>
  <c r="B153" i="125"/>
  <c r="C153" i="125"/>
  <c r="D153" i="125"/>
  <c r="A154" i="125"/>
  <c r="B154" i="125"/>
  <c r="C154" i="125"/>
  <c r="D154" i="125"/>
  <c r="A155" i="125"/>
  <c r="B155" i="125"/>
  <c r="C155" i="125"/>
  <c r="D155" i="125"/>
  <c r="A156" i="125"/>
  <c r="B156" i="125"/>
  <c r="C156" i="125"/>
  <c r="D156" i="125"/>
  <c r="A157" i="125"/>
  <c r="B157" i="125"/>
  <c r="C157" i="125"/>
  <c r="D157" i="125"/>
  <c r="A158" i="125"/>
  <c r="B158" i="125"/>
  <c r="C158" i="125"/>
  <c r="D158" i="125"/>
  <c r="A159" i="125"/>
  <c r="B159" i="125"/>
  <c r="C159" i="125"/>
  <c r="D159" i="125"/>
  <c r="A160" i="125"/>
  <c r="B160" i="125"/>
  <c r="C160" i="125"/>
  <c r="D160" i="125"/>
  <c r="A161" i="125"/>
  <c r="B161" i="125"/>
  <c r="C161" i="125"/>
  <c r="D161" i="125"/>
  <c r="A162" i="125"/>
  <c r="B162" i="125"/>
  <c r="C162" i="125"/>
  <c r="D162" i="125"/>
  <c r="A163" i="125"/>
  <c r="B163" i="125"/>
  <c r="C163" i="125"/>
  <c r="D163" i="125"/>
  <c r="A164" i="125"/>
  <c r="B164" i="125"/>
  <c r="C164" i="125"/>
  <c r="D164" i="125"/>
  <c r="A165" i="125"/>
  <c r="B165" i="125"/>
  <c r="C165" i="125"/>
  <c r="D165" i="125"/>
  <c r="A166" i="125"/>
  <c r="B166" i="125"/>
  <c r="C166" i="125"/>
  <c r="D166" i="125"/>
  <c r="A167" i="125"/>
  <c r="B167" i="125"/>
  <c r="C167" i="125"/>
  <c r="D167" i="125"/>
  <c r="A168" i="125"/>
  <c r="B168" i="125"/>
  <c r="C168" i="125"/>
  <c r="D168" i="125"/>
  <c r="A169" i="125"/>
  <c r="B169" i="125"/>
  <c r="C169" i="125"/>
  <c r="D169" i="125"/>
  <c r="A170" i="125"/>
  <c r="B170" i="125"/>
  <c r="C170" i="125"/>
  <c r="D170" i="125"/>
  <c r="A171" i="125"/>
  <c r="B171" i="125"/>
  <c r="C171" i="125"/>
  <c r="D171" i="125"/>
  <c r="A172" i="125"/>
  <c r="B172" i="125"/>
  <c r="C172" i="125"/>
  <c r="D172" i="125"/>
  <c r="A173" i="125"/>
  <c r="B173" i="125"/>
  <c r="C173" i="125"/>
  <c r="D173" i="125"/>
  <c r="A174" i="125"/>
  <c r="B174" i="125"/>
  <c r="C174" i="125"/>
  <c r="D174" i="125"/>
  <c r="A175" i="125"/>
  <c r="B175" i="125"/>
  <c r="C175" i="125"/>
  <c r="D175" i="125"/>
  <c r="A176" i="125"/>
  <c r="B176" i="125"/>
  <c r="C176" i="125"/>
  <c r="D176" i="125"/>
  <c r="A177" i="125"/>
  <c r="B177" i="125"/>
  <c r="C177" i="125"/>
  <c r="D177" i="125"/>
  <c r="A178" i="125"/>
  <c r="B178" i="125"/>
  <c r="C178" i="125"/>
  <c r="D178" i="125"/>
  <c r="A179" i="125"/>
  <c r="B179" i="125"/>
  <c r="C179" i="125"/>
  <c r="D179" i="125"/>
  <c r="A180" i="125"/>
  <c r="B180" i="125"/>
  <c r="C180" i="125"/>
  <c r="D180" i="125"/>
  <c r="A181" i="125"/>
  <c r="B181" i="125"/>
  <c r="C181" i="125"/>
  <c r="D181" i="125"/>
  <c r="A182" i="125"/>
  <c r="B182" i="125"/>
  <c r="C182" i="125"/>
  <c r="D182" i="125"/>
  <c r="A183" i="125"/>
  <c r="B183" i="125"/>
  <c r="C183" i="125"/>
  <c r="D183" i="125"/>
  <c r="A184" i="125"/>
  <c r="B184" i="125"/>
  <c r="C184" i="125"/>
  <c r="D184" i="125"/>
  <c r="A185" i="125"/>
  <c r="B185" i="125"/>
  <c r="C185" i="125"/>
  <c r="D185" i="125"/>
  <c r="A186" i="125"/>
  <c r="B186" i="125"/>
  <c r="C186" i="125"/>
  <c r="D186" i="125"/>
  <c r="A187" i="125"/>
  <c r="B187" i="125"/>
  <c r="C187" i="125"/>
  <c r="D187" i="125"/>
  <c r="A188" i="125"/>
  <c r="B188" i="125"/>
  <c r="C188" i="125"/>
  <c r="D188" i="125"/>
  <c r="A189" i="125"/>
  <c r="B189" i="125"/>
  <c r="C189" i="125"/>
  <c r="D189" i="125"/>
  <c r="A190" i="125"/>
  <c r="B190" i="125"/>
  <c r="C190" i="125"/>
  <c r="D190" i="125"/>
  <c r="A191" i="125"/>
  <c r="B191" i="125"/>
  <c r="C191" i="125"/>
  <c r="D191" i="125"/>
  <c r="A192" i="125"/>
  <c r="B192" i="125"/>
  <c r="C192" i="125"/>
  <c r="D192" i="125"/>
  <c r="A193" i="125"/>
  <c r="B193" i="125"/>
  <c r="C193" i="125"/>
  <c r="D193" i="125"/>
  <c r="A194" i="125"/>
  <c r="B194" i="125"/>
  <c r="C194" i="125"/>
  <c r="D194" i="125"/>
  <c r="A195" i="125"/>
  <c r="B195" i="125"/>
  <c r="C195" i="125"/>
  <c r="D195" i="125"/>
  <c r="A196" i="125"/>
  <c r="B196" i="125"/>
  <c r="C196" i="125"/>
  <c r="D196" i="125"/>
  <c r="A197" i="125"/>
  <c r="B197" i="125"/>
  <c r="C197" i="125"/>
  <c r="D197" i="125"/>
  <c r="A198" i="125"/>
  <c r="B198" i="125"/>
  <c r="C198" i="125"/>
  <c r="D198" i="125"/>
  <c r="A199" i="125"/>
  <c r="B199" i="125"/>
  <c r="C199" i="125"/>
  <c r="D199" i="125"/>
  <c r="A200" i="125"/>
  <c r="B200" i="125"/>
  <c r="C200" i="125"/>
  <c r="D200" i="125"/>
  <c r="A201" i="125"/>
  <c r="B201" i="125"/>
  <c r="C201" i="125"/>
  <c r="D201" i="125"/>
  <c r="A202" i="125"/>
  <c r="B202" i="125"/>
  <c r="C202" i="125"/>
  <c r="D202" i="125"/>
  <c r="A203" i="125"/>
  <c r="B203" i="125"/>
  <c r="C203" i="125"/>
  <c r="D203" i="125"/>
  <c r="A204" i="125"/>
  <c r="B204" i="125"/>
  <c r="C204" i="125"/>
  <c r="D204" i="125"/>
  <c r="A205" i="125"/>
  <c r="B205" i="125"/>
  <c r="C205" i="125"/>
  <c r="D205" i="125"/>
  <c r="A206" i="125"/>
  <c r="B206" i="125"/>
  <c r="C206" i="125"/>
  <c r="D206" i="125"/>
  <c r="A207" i="125"/>
  <c r="B207" i="125"/>
  <c r="C207" i="125"/>
  <c r="D207" i="125"/>
  <c r="A208" i="125"/>
  <c r="B208" i="125"/>
  <c r="C208" i="125"/>
  <c r="D208" i="125"/>
  <c r="A209" i="125"/>
  <c r="B209" i="125"/>
  <c r="C209" i="125"/>
  <c r="D209" i="125"/>
  <c r="A210" i="125"/>
  <c r="B210" i="125"/>
  <c r="C210" i="125"/>
  <c r="D210" i="125"/>
  <c r="A211" i="125"/>
  <c r="B211" i="125"/>
  <c r="C211" i="125"/>
  <c r="D211" i="125"/>
  <c r="A212" i="125"/>
  <c r="B212" i="125"/>
  <c r="C212" i="125"/>
  <c r="D212" i="125"/>
  <c r="A213" i="125"/>
  <c r="B213" i="125"/>
  <c r="C213" i="125"/>
  <c r="D213" i="125"/>
  <c r="A214" i="125"/>
  <c r="B214" i="125"/>
  <c r="C214" i="125"/>
  <c r="D214" i="125"/>
  <c r="A215" i="125"/>
  <c r="B215" i="125"/>
  <c r="C215" i="125"/>
  <c r="D215" i="125"/>
  <c r="A216" i="125"/>
  <c r="B216" i="125"/>
  <c r="C216" i="125"/>
  <c r="D216" i="125"/>
  <c r="A217" i="125"/>
  <c r="B217" i="125"/>
  <c r="C217" i="125"/>
  <c r="D217" i="125"/>
  <c r="A218" i="125"/>
  <c r="B218" i="125"/>
  <c r="C218" i="125"/>
  <c r="D218" i="125"/>
  <c r="A219" i="125"/>
  <c r="B219" i="125"/>
  <c r="C219" i="125"/>
  <c r="D219" i="125"/>
  <c r="A220" i="125"/>
  <c r="B220" i="125"/>
  <c r="C220" i="125"/>
  <c r="D220" i="125"/>
  <c r="A221" i="125"/>
  <c r="B221" i="125"/>
  <c r="C221" i="125"/>
  <c r="D221" i="125"/>
  <c r="A222" i="125"/>
  <c r="B222" i="125"/>
  <c r="C222" i="125"/>
  <c r="D222" i="125"/>
  <c r="A223" i="125"/>
  <c r="B223" i="125"/>
  <c r="C223" i="125"/>
  <c r="D223" i="125"/>
  <c r="A224" i="125"/>
  <c r="B224" i="125"/>
  <c r="C224" i="125"/>
  <c r="D224" i="125"/>
  <c r="A225" i="125"/>
  <c r="B225" i="125"/>
  <c r="C225" i="125"/>
  <c r="D225" i="125"/>
  <c r="A226" i="125"/>
  <c r="B226" i="125"/>
  <c r="C226" i="125"/>
  <c r="D226" i="125"/>
  <c r="A227" i="125"/>
  <c r="B227" i="125"/>
  <c r="C227" i="125"/>
  <c r="D227" i="125"/>
  <c r="A228" i="125"/>
  <c r="B228" i="125"/>
  <c r="C228" i="125"/>
  <c r="D228" i="125"/>
  <c r="A229" i="125"/>
  <c r="B229" i="125"/>
  <c r="C229" i="125"/>
  <c r="D229" i="125"/>
  <c r="A230" i="125"/>
  <c r="B230" i="125"/>
  <c r="C230" i="125"/>
  <c r="D230" i="125"/>
  <c r="A231" i="125"/>
  <c r="B231" i="125"/>
  <c r="C231" i="125"/>
  <c r="D231" i="125"/>
  <c r="A232" i="125"/>
  <c r="B232" i="125"/>
  <c r="C232" i="125"/>
  <c r="D232" i="125"/>
  <c r="A233" i="125"/>
  <c r="B233" i="125"/>
  <c r="C233" i="125"/>
  <c r="D233" i="125"/>
  <c r="A234" i="125"/>
  <c r="B234" i="125"/>
  <c r="C234" i="125"/>
  <c r="D234" i="125"/>
  <c r="A235" i="125"/>
  <c r="B235" i="125"/>
  <c r="C235" i="125"/>
  <c r="D235" i="125"/>
  <c r="A236" i="125"/>
  <c r="B236" i="125"/>
  <c r="C236" i="125"/>
  <c r="D236" i="125"/>
  <c r="A237" i="125"/>
  <c r="B237" i="125"/>
  <c r="C237" i="125"/>
  <c r="D237" i="125"/>
  <c r="A238" i="125"/>
  <c r="B238" i="125"/>
  <c r="C238" i="125"/>
  <c r="D238" i="125"/>
  <c r="A239" i="125"/>
  <c r="B239" i="125"/>
  <c r="C239" i="125"/>
  <c r="D239" i="125"/>
  <c r="A240" i="125"/>
  <c r="B240" i="125"/>
  <c r="C240" i="125"/>
  <c r="D240" i="125"/>
  <c r="A241" i="125"/>
  <c r="B241" i="125"/>
  <c r="C241" i="125"/>
  <c r="D241" i="125"/>
  <c r="A242" i="125"/>
  <c r="B242" i="125"/>
  <c r="C242" i="125"/>
  <c r="D242" i="125"/>
  <c r="A243" i="125"/>
  <c r="B243" i="125"/>
  <c r="C243" i="125"/>
  <c r="D243" i="125"/>
  <c r="A244" i="125"/>
  <c r="B244" i="125"/>
  <c r="C244" i="125"/>
  <c r="D244" i="125"/>
  <c r="A245" i="125"/>
  <c r="B245" i="125"/>
  <c r="C245" i="125"/>
  <c r="D245" i="125"/>
  <c r="A246" i="125"/>
  <c r="B246" i="125"/>
  <c r="C246" i="125"/>
  <c r="D246" i="125"/>
  <c r="A247" i="125"/>
  <c r="B247" i="125"/>
  <c r="C247" i="125"/>
  <c r="D247" i="125"/>
  <c r="A248" i="125"/>
  <c r="B248" i="125"/>
  <c r="C248" i="125"/>
  <c r="D248" i="125"/>
  <c r="A249" i="125"/>
  <c r="B249" i="125"/>
  <c r="C249" i="125"/>
  <c r="D249" i="125"/>
  <c r="A250" i="125"/>
  <c r="B250" i="125"/>
  <c r="C250" i="125"/>
  <c r="D250" i="125"/>
  <c r="A251" i="125"/>
  <c r="B251" i="125"/>
  <c r="C251" i="125"/>
  <c r="D251" i="125"/>
  <c r="V7" i="133" l="1"/>
  <c r="W6" i="133"/>
  <c r="W7" i="133" l="1"/>
  <c r="X6" i="133"/>
  <c r="B25" i="156"/>
  <c r="C25" i="156" s="1"/>
  <c r="B8" i="156"/>
  <c r="C8" i="156" s="1"/>
  <c r="B9" i="156"/>
  <c r="C9" i="156" s="1"/>
  <c r="B10" i="156"/>
  <c r="C10" i="156" s="1"/>
  <c r="B11" i="156"/>
  <c r="C11" i="156" s="1"/>
  <c r="B12" i="156"/>
  <c r="C12" i="156" s="1"/>
  <c r="B13" i="156"/>
  <c r="C13" i="156" s="1"/>
  <c r="B14" i="156"/>
  <c r="C14" i="156" s="1"/>
  <c r="B15" i="156"/>
  <c r="C15" i="156" s="1"/>
  <c r="B16" i="156"/>
  <c r="C16" i="156" s="1"/>
  <c r="B17" i="156"/>
  <c r="C17" i="156" s="1"/>
  <c r="B18" i="156"/>
  <c r="C18" i="156" s="1"/>
  <c r="B19" i="156"/>
  <c r="C19" i="156" s="1"/>
  <c r="B20" i="156"/>
  <c r="C20" i="156" s="1"/>
  <c r="B21" i="156"/>
  <c r="C21" i="156" s="1"/>
  <c r="B22" i="156"/>
  <c r="C22" i="156" s="1"/>
  <c r="B23" i="156"/>
  <c r="C23" i="156" s="1"/>
  <c r="B24" i="156"/>
  <c r="C24" i="156" s="1"/>
  <c r="B6" i="156"/>
  <c r="C6" i="156" s="1"/>
  <c r="K249" i="125"/>
  <c r="H249" i="125"/>
  <c r="K248" i="125"/>
  <c r="H248" i="125"/>
  <c r="K251" i="125"/>
  <c r="H251" i="125"/>
  <c r="K250" i="125"/>
  <c r="H250" i="125"/>
  <c r="A49" i="172"/>
  <c r="R49" i="172" s="1"/>
  <c r="B49" i="172"/>
  <c r="C49" i="172"/>
  <c r="D49" i="172"/>
  <c r="E49" i="172"/>
  <c r="F49" i="172"/>
  <c r="G49" i="172" s="1"/>
  <c r="H49" i="172"/>
  <c r="A50" i="172"/>
  <c r="R50" i="172" s="1"/>
  <c r="B50" i="172"/>
  <c r="C50" i="172"/>
  <c r="D50" i="172"/>
  <c r="E50" i="172"/>
  <c r="F50" i="172"/>
  <c r="G50" i="172" s="1"/>
  <c r="H50" i="172"/>
  <c r="A51" i="172"/>
  <c r="R51" i="172" s="1"/>
  <c r="B51" i="172"/>
  <c r="C51" i="172"/>
  <c r="D51" i="172"/>
  <c r="E51" i="172"/>
  <c r="F51" i="172"/>
  <c r="G51" i="172" s="1"/>
  <c r="H51" i="172"/>
  <c r="A52" i="172"/>
  <c r="R52" i="172" s="1"/>
  <c r="B52" i="172"/>
  <c r="C52" i="172"/>
  <c r="D52" i="172"/>
  <c r="E52" i="172"/>
  <c r="F52" i="172"/>
  <c r="G52" i="172" s="1"/>
  <c r="H52" i="172"/>
  <c r="K52" i="172" s="1"/>
  <c r="A53" i="172"/>
  <c r="R53" i="172" s="1"/>
  <c r="B53" i="172"/>
  <c r="C53" i="172"/>
  <c r="D53" i="172"/>
  <c r="E53" i="172"/>
  <c r="F53" i="172"/>
  <c r="G53" i="172" s="1"/>
  <c r="H53" i="172"/>
  <c r="A54" i="172"/>
  <c r="R54" i="172" s="1"/>
  <c r="B54" i="172"/>
  <c r="C54" i="172"/>
  <c r="D54" i="172"/>
  <c r="E54" i="172"/>
  <c r="F54" i="172"/>
  <c r="G54" i="172" s="1"/>
  <c r="H54" i="172"/>
  <c r="K54" i="172" s="1"/>
  <c r="A55" i="172"/>
  <c r="R55" i="172" s="1"/>
  <c r="B55" i="172"/>
  <c r="C55" i="172"/>
  <c r="D55" i="172"/>
  <c r="E55" i="172"/>
  <c r="F55" i="172"/>
  <c r="G55" i="172" s="1"/>
  <c r="H55" i="172"/>
  <c r="K55" i="172" s="1"/>
  <c r="A56" i="172"/>
  <c r="R56" i="172" s="1"/>
  <c r="B56" i="172"/>
  <c r="C56" i="172"/>
  <c r="D56" i="172"/>
  <c r="E56" i="172"/>
  <c r="F56" i="172"/>
  <c r="G56" i="172" s="1"/>
  <c r="H56" i="172"/>
  <c r="A57" i="172"/>
  <c r="R57" i="172" s="1"/>
  <c r="B57" i="172"/>
  <c r="C57" i="172"/>
  <c r="D57" i="172"/>
  <c r="E57" i="172"/>
  <c r="F57" i="172"/>
  <c r="G57" i="172" s="1"/>
  <c r="H57" i="172"/>
  <c r="A58" i="172"/>
  <c r="R58" i="172" s="1"/>
  <c r="B58" i="172"/>
  <c r="C58" i="172"/>
  <c r="D58" i="172"/>
  <c r="E58" i="172"/>
  <c r="F58" i="172"/>
  <c r="G58" i="172" s="1"/>
  <c r="H58" i="172"/>
  <c r="A59" i="172"/>
  <c r="R59" i="172" s="1"/>
  <c r="B59" i="172"/>
  <c r="C59" i="172"/>
  <c r="D59" i="172"/>
  <c r="E59" i="172"/>
  <c r="F59" i="172"/>
  <c r="G59" i="172" s="1"/>
  <c r="H59" i="172"/>
  <c r="A60" i="172"/>
  <c r="R60" i="172" s="1"/>
  <c r="B60" i="172"/>
  <c r="C60" i="172"/>
  <c r="D60" i="172"/>
  <c r="E60" i="172"/>
  <c r="F60" i="172"/>
  <c r="G60" i="172" s="1"/>
  <c r="H60" i="172"/>
  <c r="A61" i="172"/>
  <c r="R61" i="172" s="1"/>
  <c r="B61" i="172"/>
  <c r="C61" i="172"/>
  <c r="D61" i="172"/>
  <c r="E61" i="172"/>
  <c r="F61" i="172"/>
  <c r="G61" i="172" s="1"/>
  <c r="H61" i="172"/>
  <c r="A62" i="172"/>
  <c r="R62" i="172" s="1"/>
  <c r="B62" i="172"/>
  <c r="C62" i="172"/>
  <c r="D62" i="172"/>
  <c r="E62" i="172"/>
  <c r="F62" i="172"/>
  <c r="G62" i="172" s="1"/>
  <c r="H62" i="172"/>
  <c r="A63" i="172"/>
  <c r="R63" i="172" s="1"/>
  <c r="B63" i="172"/>
  <c r="C63" i="172"/>
  <c r="D63" i="172"/>
  <c r="E63" i="172"/>
  <c r="F63" i="172"/>
  <c r="G63" i="172" s="1"/>
  <c r="H63" i="172"/>
  <c r="A64" i="172"/>
  <c r="R64" i="172" s="1"/>
  <c r="B64" i="172"/>
  <c r="C64" i="172"/>
  <c r="D64" i="172"/>
  <c r="E64" i="172"/>
  <c r="F64" i="172"/>
  <c r="G64" i="172" s="1"/>
  <c r="H64" i="172"/>
  <c r="A65" i="172"/>
  <c r="R65" i="172" s="1"/>
  <c r="B65" i="172"/>
  <c r="C65" i="172"/>
  <c r="D65" i="172"/>
  <c r="E65" i="172"/>
  <c r="F65" i="172"/>
  <c r="G65" i="172" s="1"/>
  <c r="H65" i="172"/>
  <c r="A66" i="172"/>
  <c r="R66" i="172" s="1"/>
  <c r="B66" i="172"/>
  <c r="C66" i="172"/>
  <c r="D66" i="172"/>
  <c r="E66" i="172"/>
  <c r="F66" i="172"/>
  <c r="G66" i="172" s="1"/>
  <c r="H66" i="172"/>
  <c r="A67" i="172"/>
  <c r="R67" i="172" s="1"/>
  <c r="B67" i="172"/>
  <c r="C67" i="172"/>
  <c r="D67" i="172"/>
  <c r="E67" i="172"/>
  <c r="F67" i="172"/>
  <c r="G67" i="172" s="1"/>
  <c r="H67" i="172"/>
  <c r="A68" i="172"/>
  <c r="R68" i="172" s="1"/>
  <c r="B68" i="172"/>
  <c r="C68" i="172"/>
  <c r="D68" i="172"/>
  <c r="E68" i="172"/>
  <c r="F68" i="172"/>
  <c r="G68" i="172" s="1"/>
  <c r="H68" i="172"/>
  <c r="A69" i="172"/>
  <c r="R69" i="172" s="1"/>
  <c r="B69" i="172"/>
  <c r="C69" i="172"/>
  <c r="D69" i="172"/>
  <c r="E69" i="172"/>
  <c r="F69" i="172"/>
  <c r="G69" i="172" s="1"/>
  <c r="H69" i="172"/>
  <c r="A70" i="172"/>
  <c r="R70" i="172" s="1"/>
  <c r="B70" i="172"/>
  <c r="C70" i="172"/>
  <c r="D70" i="172"/>
  <c r="E70" i="172"/>
  <c r="F70" i="172"/>
  <c r="G70" i="172" s="1"/>
  <c r="H70" i="172"/>
  <c r="A71" i="172"/>
  <c r="R71" i="172" s="1"/>
  <c r="B71" i="172"/>
  <c r="C71" i="172"/>
  <c r="D71" i="172"/>
  <c r="E71" i="172"/>
  <c r="F71" i="172"/>
  <c r="G71" i="172" s="1"/>
  <c r="H71" i="172"/>
  <c r="A72" i="172"/>
  <c r="R72" i="172" s="1"/>
  <c r="B72" i="172"/>
  <c r="C72" i="172"/>
  <c r="D72" i="172"/>
  <c r="E72" i="172"/>
  <c r="F72" i="172"/>
  <c r="G72" i="172" s="1"/>
  <c r="H72" i="172"/>
  <c r="A73" i="172"/>
  <c r="R73" i="172" s="1"/>
  <c r="B73" i="172"/>
  <c r="C73" i="172"/>
  <c r="D73" i="172"/>
  <c r="E73" i="172"/>
  <c r="F73" i="172"/>
  <c r="G73" i="172" s="1"/>
  <c r="H73" i="172"/>
  <c r="A74" i="172"/>
  <c r="R74" i="172" s="1"/>
  <c r="B74" i="172"/>
  <c r="C74" i="172"/>
  <c r="D74" i="172"/>
  <c r="E74" i="172"/>
  <c r="F74" i="172"/>
  <c r="G74" i="172" s="1"/>
  <c r="H74" i="172"/>
  <c r="A75" i="172"/>
  <c r="R75" i="172" s="1"/>
  <c r="B75" i="172"/>
  <c r="C75" i="172"/>
  <c r="D75" i="172"/>
  <c r="E75" i="172"/>
  <c r="F75" i="172"/>
  <c r="G75" i="172" s="1"/>
  <c r="H75" i="172"/>
  <c r="A76" i="172"/>
  <c r="R76" i="172" s="1"/>
  <c r="B76" i="172"/>
  <c r="C76" i="172"/>
  <c r="D76" i="172"/>
  <c r="E76" i="172"/>
  <c r="F76" i="172"/>
  <c r="G76" i="172" s="1"/>
  <c r="H76" i="172"/>
  <c r="K76" i="172" s="1"/>
  <c r="A77" i="172"/>
  <c r="R77" i="172" s="1"/>
  <c r="B77" i="172"/>
  <c r="C77" i="172"/>
  <c r="D77" i="172"/>
  <c r="E77" i="172"/>
  <c r="F77" i="172"/>
  <c r="G77" i="172" s="1"/>
  <c r="H77" i="172"/>
  <c r="A78" i="172"/>
  <c r="R78" i="172" s="1"/>
  <c r="B78" i="172"/>
  <c r="C78" i="172"/>
  <c r="D78" i="172"/>
  <c r="E78" i="172"/>
  <c r="F78" i="172"/>
  <c r="G78" i="172" s="1"/>
  <c r="H78" i="172"/>
  <c r="A79" i="172"/>
  <c r="R79" i="172" s="1"/>
  <c r="B79" i="172"/>
  <c r="C79" i="172"/>
  <c r="D79" i="172"/>
  <c r="E79" i="172"/>
  <c r="F79" i="172"/>
  <c r="G79" i="172" s="1"/>
  <c r="H79" i="172"/>
  <c r="A80" i="172"/>
  <c r="R80" i="172" s="1"/>
  <c r="B80" i="172"/>
  <c r="C80" i="172"/>
  <c r="D80" i="172"/>
  <c r="E80" i="172"/>
  <c r="F80" i="172"/>
  <c r="G80" i="172" s="1"/>
  <c r="H80" i="172"/>
  <c r="A81" i="172"/>
  <c r="R81" i="172" s="1"/>
  <c r="B81" i="172"/>
  <c r="C81" i="172"/>
  <c r="D81" i="172"/>
  <c r="E81" i="172"/>
  <c r="F81" i="172"/>
  <c r="G81" i="172" s="1"/>
  <c r="H81" i="172"/>
  <c r="A82" i="172"/>
  <c r="R82" i="172" s="1"/>
  <c r="B82" i="172"/>
  <c r="C82" i="172"/>
  <c r="D82" i="172"/>
  <c r="E82" i="172"/>
  <c r="F82" i="172"/>
  <c r="G82" i="172" s="1"/>
  <c r="H82" i="172"/>
  <c r="A83" i="172"/>
  <c r="R83" i="172" s="1"/>
  <c r="B83" i="172"/>
  <c r="C83" i="172"/>
  <c r="D83" i="172"/>
  <c r="E83" i="172"/>
  <c r="F83" i="172"/>
  <c r="G83" i="172" s="1"/>
  <c r="H83" i="172"/>
  <c r="A84" i="172"/>
  <c r="R84" i="172" s="1"/>
  <c r="B84" i="172"/>
  <c r="C84" i="172"/>
  <c r="D84" i="172"/>
  <c r="E84" i="172"/>
  <c r="F84" i="172"/>
  <c r="G84" i="172" s="1"/>
  <c r="H84" i="172"/>
  <c r="A85" i="172"/>
  <c r="R85" i="172" s="1"/>
  <c r="B85" i="172"/>
  <c r="C85" i="172"/>
  <c r="D85" i="172"/>
  <c r="E85" i="172"/>
  <c r="F85" i="172"/>
  <c r="G85" i="172" s="1"/>
  <c r="H85" i="172"/>
  <c r="A86" i="172"/>
  <c r="R86" i="172" s="1"/>
  <c r="B86" i="172"/>
  <c r="C86" i="172"/>
  <c r="D86" i="172"/>
  <c r="E86" i="172"/>
  <c r="F86" i="172"/>
  <c r="G86" i="172" s="1"/>
  <c r="H86" i="172"/>
  <c r="A87" i="172"/>
  <c r="R87" i="172" s="1"/>
  <c r="B87" i="172"/>
  <c r="C87" i="172"/>
  <c r="D87" i="172"/>
  <c r="E87" i="172"/>
  <c r="F87" i="172"/>
  <c r="G87" i="172" s="1"/>
  <c r="H87" i="172"/>
  <c r="A88" i="172"/>
  <c r="R88" i="172" s="1"/>
  <c r="B88" i="172"/>
  <c r="C88" i="172"/>
  <c r="D88" i="172"/>
  <c r="E88" i="172"/>
  <c r="F88" i="172"/>
  <c r="G88" i="172" s="1"/>
  <c r="H88" i="172"/>
  <c r="A89" i="172"/>
  <c r="R89" i="172" s="1"/>
  <c r="B89" i="172"/>
  <c r="C89" i="172"/>
  <c r="D89" i="172"/>
  <c r="E89" i="172"/>
  <c r="F89" i="172"/>
  <c r="G89" i="172" s="1"/>
  <c r="H89" i="172"/>
  <c r="A90" i="172"/>
  <c r="R90" i="172" s="1"/>
  <c r="B90" i="172"/>
  <c r="C90" i="172"/>
  <c r="D90" i="172"/>
  <c r="E90" i="172"/>
  <c r="F90" i="172"/>
  <c r="G90" i="172" s="1"/>
  <c r="H90" i="172"/>
  <c r="A91" i="172"/>
  <c r="R91" i="172" s="1"/>
  <c r="B91" i="172"/>
  <c r="C91" i="172"/>
  <c r="D91" i="172"/>
  <c r="E91" i="172"/>
  <c r="F91" i="172"/>
  <c r="G91" i="172" s="1"/>
  <c r="H91" i="172"/>
  <c r="A92" i="172"/>
  <c r="R92" i="172" s="1"/>
  <c r="B92" i="172"/>
  <c r="C92" i="172"/>
  <c r="D92" i="172"/>
  <c r="E92" i="172"/>
  <c r="F92" i="172"/>
  <c r="G92" i="172" s="1"/>
  <c r="H92" i="172"/>
  <c r="A93" i="172"/>
  <c r="R93" i="172" s="1"/>
  <c r="B93" i="172"/>
  <c r="C93" i="172"/>
  <c r="D93" i="172"/>
  <c r="E93" i="172"/>
  <c r="F93" i="172"/>
  <c r="G93" i="172" s="1"/>
  <c r="H93" i="172"/>
  <c r="A94" i="172"/>
  <c r="R94" i="172" s="1"/>
  <c r="B94" i="172"/>
  <c r="C94" i="172"/>
  <c r="D94" i="172"/>
  <c r="E94" i="172"/>
  <c r="F94" i="172"/>
  <c r="G94" i="172" s="1"/>
  <c r="H94" i="172"/>
  <c r="A95" i="172"/>
  <c r="R95" i="172" s="1"/>
  <c r="B95" i="172"/>
  <c r="C95" i="172"/>
  <c r="D95" i="172"/>
  <c r="E95" i="172"/>
  <c r="F95" i="172"/>
  <c r="G95" i="172" s="1"/>
  <c r="H95" i="172"/>
  <c r="A96" i="172"/>
  <c r="R96" i="172" s="1"/>
  <c r="B96" i="172"/>
  <c r="C96" i="172"/>
  <c r="D96" i="172"/>
  <c r="E96" i="172"/>
  <c r="F96" i="172"/>
  <c r="G96" i="172" s="1"/>
  <c r="H96" i="172"/>
  <c r="A97" i="172"/>
  <c r="R97" i="172" s="1"/>
  <c r="B97" i="172"/>
  <c r="C97" i="172"/>
  <c r="D97" i="172"/>
  <c r="E97" i="172"/>
  <c r="F97" i="172"/>
  <c r="G97" i="172" s="1"/>
  <c r="H97" i="172"/>
  <c r="A98" i="172"/>
  <c r="R98" i="172" s="1"/>
  <c r="B98" i="172"/>
  <c r="C98" i="172"/>
  <c r="D98" i="172"/>
  <c r="E98" i="172"/>
  <c r="F98" i="172"/>
  <c r="G98" i="172" s="1"/>
  <c r="H98" i="172"/>
  <c r="A99" i="172"/>
  <c r="R99" i="172" s="1"/>
  <c r="B99" i="172"/>
  <c r="C99" i="172"/>
  <c r="D99" i="172"/>
  <c r="E99" i="172"/>
  <c r="F99" i="172"/>
  <c r="G99" i="172" s="1"/>
  <c r="H99" i="172"/>
  <c r="A100" i="172"/>
  <c r="R100" i="172" s="1"/>
  <c r="B100" i="172"/>
  <c r="C100" i="172"/>
  <c r="D100" i="172"/>
  <c r="E100" i="172"/>
  <c r="F100" i="172"/>
  <c r="G100" i="172" s="1"/>
  <c r="H100" i="172"/>
  <c r="A101" i="172"/>
  <c r="R101" i="172" s="1"/>
  <c r="B101" i="172"/>
  <c r="C101" i="172"/>
  <c r="D101" i="172"/>
  <c r="E101" i="172"/>
  <c r="F101" i="172"/>
  <c r="G101" i="172" s="1"/>
  <c r="H101" i="172"/>
  <c r="A102" i="172"/>
  <c r="R102" i="172" s="1"/>
  <c r="B102" i="172"/>
  <c r="C102" i="172"/>
  <c r="D102" i="172"/>
  <c r="E102" i="172"/>
  <c r="F102" i="172"/>
  <c r="G102" i="172" s="1"/>
  <c r="H102" i="172"/>
  <c r="A103" i="172"/>
  <c r="R103" i="172" s="1"/>
  <c r="B103" i="172"/>
  <c r="C103" i="172"/>
  <c r="D103" i="172"/>
  <c r="E103" i="172"/>
  <c r="F103" i="172"/>
  <c r="G103" i="172" s="1"/>
  <c r="H103" i="172"/>
  <c r="A104" i="172"/>
  <c r="R104" i="172" s="1"/>
  <c r="B104" i="172"/>
  <c r="C104" i="172"/>
  <c r="D104" i="172"/>
  <c r="E104" i="172"/>
  <c r="F104" i="172"/>
  <c r="G104" i="172" s="1"/>
  <c r="H104" i="172"/>
  <c r="A105" i="172"/>
  <c r="R105" i="172" s="1"/>
  <c r="B105" i="172"/>
  <c r="C105" i="172"/>
  <c r="D105" i="172"/>
  <c r="E105" i="172"/>
  <c r="F105" i="172"/>
  <c r="G105" i="172" s="1"/>
  <c r="H105" i="172"/>
  <c r="A106" i="172"/>
  <c r="R106" i="172" s="1"/>
  <c r="B106" i="172"/>
  <c r="C106" i="172"/>
  <c r="D106" i="172"/>
  <c r="E106" i="172"/>
  <c r="F106" i="172"/>
  <c r="G106" i="172" s="1"/>
  <c r="H106" i="172"/>
  <c r="A107" i="172"/>
  <c r="R107" i="172" s="1"/>
  <c r="B107" i="172"/>
  <c r="C107" i="172"/>
  <c r="D107" i="172"/>
  <c r="E107" i="172"/>
  <c r="F107" i="172"/>
  <c r="G107" i="172" s="1"/>
  <c r="H107" i="172"/>
  <c r="A108" i="172"/>
  <c r="R108" i="172" s="1"/>
  <c r="B108" i="172"/>
  <c r="C108" i="172"/>
  <c r="D108" i="172"/>
  <c r="E108" i="172"/>
  <c r="F108" i="172"/>
  <c r="G108" i="172" s="1"/>
  <c r="H108" i="172"/>
  <c r="A109" i="172"/>
  <c r="R109" i="172" s="1"/>
  <c r="B109" i="172"/>
  <c r="C109" i="172"/>
  <c r="D109" i="172"/>
  <c r="E109" i="172"/>
  <c r="F109" i="172"/>
  <c r="G109" i="172" s="1"/>
  <c r="H109" i="172"/>
  <c r="A110" i="172"/>
  <c r="R110" i="172" s="1"/>
  <c r="B110" i="172"/>
  <c r="C110" i="172"/>
  <c r="D110" i="172"/>
  <c r="E110" i="172"/>
  <c r="F110" i="172"/>
  <c r="G110" i="172" s="1"/>
  <c r="H110" i="172"/>
  <c r="A111" i="172"/>
  <c r="R111" i="172" s="1"/>
  <c r="B111" i="172"/>
  <c r="C111" i="172"/>
  <c r="D111" i="172"/>
  <c r="E111" i="172"/>
  <c r="F111" i="172"/>
  <c r="G111" i="172" s="1"/>
  <c r="H111" i="172"/>
  <c r="A112" i="172"/>
  <c r="R112" i="172" s="1"/>
  <c r="B112" i="172"/>
  <c r="C112" i="172"/>
  <c r="D112" i="172"/>
  <c r="E112" i="172"/>
  <c r="F112" i="172"/>
  <c r="G112" i="172" s="1"/>
  <c r="H112" i="172"/>
  <c r="A113" i="172"/>
  <c r="R113" i="172" s="1"/>
  <c r="B113" i="172"/>
  <c r="C113" i="172"/>
  <c r="D113" i="172"/>
  <c r="E113" i="172"/>
  <c r="F113" i="172"/>
  <c r="G113" i="172" s="1"/>
  <c r="H113" i="172"/>
  <c r="A114" i="172"/>
  <c r="R114" i="172" s="1"/>
  <c r="B114" i="172"/>
  <c r="C114" i="172"/>
  <c r="D114" i="172"/>
  <c r="E114" i="172"/>
  <c r="F114" i="172"/>
  <c r="G114" i="172" s="1"/>
  <c r="H114" i="172"/>
  <c r="A115" i="172"/>
  <c r="R115" i="172" s="1"/>
  <c r="B115" i="172"/>
  <c r="C115" i="172"/>
  <c r="D115" i="172"/>
  <c r="E115" i="172"/>
  <c r="F115" i="172"/>
  <c r="G115" i="172" s="1"/>
  <c r="H115" i="172"/>
  <c r="A116" i="172"/>
  <c r="R116" i="172" s="1"/>
  <c r="B116" i="172"/>
  <c r="C116" i="172"/>
  <c r="D116" i="172"/>
  <c r="E116" i="172"/>
  <c r="F116" i="172"/>
  <c r="G116" i="172" s="1"/>
  <c r="H116" i="172"/>
  <c r="A117" i="172"/>
  <c r="R117" i="172" s="1"/>
  <c r="B117" i="172"/>
  <c r="C117" i="172"/>
  <c r="D117" i="172"/>
  <c r="E117" i="172"/>
  <c r="F117" i="172"/>
  <c r="G117" i="172" s="1"/>
  <c r="H117" i="172"/>
  <c r="A118" i="172"/>
  <c r="R118" i="172" s="1"/>
  <c r="B118" i="172"/>
  <c r="C118" i="172"/>
  <c r="D118" i="172"/>
  <c r="E118" i="172"/>
  <c r="F118" i="172"/>
  <c r="G118" i="172" s="1"/>
  <c r="H118" i="172"/>
  <c r="A119" i="172"/>
  <c r="R119" i="172" s="1"/>
  <c r="B119" i="172"/>
  <c r="C119" i="172"/>
  <c r="D119" i="172"/>
  <c r="E119" i="172"/>
  <c r="F119" i="172"/>
  <c r="G119" i="172" s="1"/>
  <c r="H119" i="172"/>
  <c r="A120" i="172"/>
  <c r="R120" i="172" s="1"/>
  <c r="B120" i="172"/>
  <c r="C120" i="172"/>
  <c r="D120" i="172"/>
  <c r="E120" i="172"/>
  <c r="F120" i="172"/>
  <c r="G120" i="172" s="1"/>
  <c r="H120" i="172"/>
  <c r="A121" i="172"/>
  <c r="R121" i="172" s="1"/>
  <c r="B121" i="172"/>
  <c r="C121" i="172"/>
  <c r="D121" i="172"/>
  <c r="E121" i="172"/>
  <c r="F121" i="172"/>
  <c r="G121" i="172" s="1"/>
  <c r="H121" i="172"/>
  <c r="A122" i="172"/>
  <c r="R122" i="172" s="1"/>
  <c r="B122" i="172"/>
  <c r="C122" i="172"/>
  <c r="D122" i="172"/>
  <c r="E122" i="172"/>
  <c r="F122" i="172"/>
  <c r="G122" i="172" s="1"/>
  <c r="H122" i="172"/>
  <c r="A123" i="172"/>
  <c r="R123" i="172" s="1"/>
  <c r="B123" i="172"/>
  <c r="C123" i="172"/>
  <c r="D123" i="172"/>
  <c r="E123" i="172"/>
  <c r="F123" i="172"/>
  <c r="G123" i="172" s="1"/>
  <c r="H123" i="172"/>
  <c r="A124" i="172"/>
  <c r="R124" i="172" s="1"/>
  <c r="B124" i="172"/>
  <c r="C124" i="172"/>
  <c r="D124" i="172"/>
  <c r="E124" i="172"/>
  <c r="F124" i="172"/>
  <c r="G124" i="172" s="1"/>
  <c r="H124" i="172"/>
  <c r="A125" i="172"/>
  <c r="R125" i="172" s="1"/>
  <c r="B125" i="172"/>
  <c r="C125" i="172"/>
  <c r="D125" i="172"/>
  <c r="E125" i="172"/>
  <c r="F125" i="172"/>
  <c r="G125" i="172" s="1"/>
  <c r="H125" i="172"/>
  <c r="A126" i="172"/>
  <c r="R126" i="172" s="1"/>
  <c r="B126" i="172"/>
  <c r="C126" i="172"/>
  <c r="D126" i="172"/>
  <c r="E126" i="172"/>
  <c r="F126" i="172"/>
  <c r="G126" i="172" s="1"/>
  <c r="H126" i="172"/>
  <c r="A127" i="172"/>
  <c r="R127" i="172" s="1"/>
  <c r="B127" i="172"/>
  <c r="C127" i="172"/>
  <c r="D127" i="172"/>
  <c r="E127" i="172"/>
  <c r="F127" i="172"/>
  <c r="G127" i="172" s="1"/>
  <c r="H127" i="172"/>
  <c r="A128" i="172"/>
  <c r="R128" i="172" s="1"/>
  <c r="B128" i="172"/>
  <c r="C128" i="172"/>
  <c r="D128" i="172"/>
  <c r="E128" i="172"/>
  <c r="F128" i="172"/>
  <c r="G128" i="172" s="1"/>
  <c r="H128" i="172"/>
  <c r="A129" i="172"/>
  <c r="R129" i="172" s="1"/>
  <c r="B129" i="172"/>
  <c r="C129" i="172"/>
  <c r="D129" i="172"/>
  <c r="E129" i="172"/>
  <c r="F129" i="172"/>
  <c r="G129" i="172" s="1"/>
  <c r="H129" i="172"/>
  <c r="A130" i="172"/>
  <c r="R130" i="172" s="1"/>
  <c r="B130" i="172"/>
  <c r="C130" i="172"/>
  <c r="D130" i="172"/>
  <c r="E130" i="172"/>
  <c r="F130" i="172"/>
  <c r="G130" i="172" s="1"/>
  <c r="H130" i="172"/>
  <c r="A131" i="172"/>
  <c r="R131" i="172" s="1"/>
  <c r="B131" i="172"/>
  <c r="C131" i="172"/>
  <c r="D131" i="172"/>
  <c r="E131" i="172"/>
  <c r="F131" i="172"/>
  <c r="G131" i="172" s="1"/>
  <c r="H131" i="172"/>
  <c r="A132" i="172"/>
  <c r="R132" i="172" s="1"/>
  <c r="B132" i="172"/>
  <c r="C132" i="172"/>
  <c r="D132" i="172"/>
  <c r="E132" i="172"/>
  <c r="F132" i="172"/>
  <c r="G132" i="172" s="1"/>
  <c r="H132" i="172"/>
  <c r="A133" i="172"/>
  <c r="R133" i="172" s="1"/>
  <c r="B133" i="172"/>
  <c r="C133" i="172"/>
  <c r="D133" i="172"/>
  <c r="E133" i="172"/>
  <c r="F133" i="172"/>
  <c r="G133" i="172" s="1"/>
  <c r="H133" i="172"/>
  <c r="A134" i="172"/>
  <c r="R134" i="172" s="1"/>
  <c r="B134" i="172"/>
  <c r="C134" i="172"/>
  <c r="D134" i="172"/>
  <c r="E134" i="172"/>
  <c r="F134" i="172"/>
  <c r="G134" i="172" s="1"/>
  <c r="H134" i="172"/>
  <c r="A135" i="172"/>
  <c r="R135" i="172" s="1"/>
  <c r="B135" i="172"/>
  <c r="C135" i="172"/>
  <c r="D135" i="172"/>
  <c r="E135" i="172"/>
  <c r="F135" i="172"/>
  <c r="G135" i="172" s="1"/>
  <c r="H135" i="172"/>
  <c r="A136" i="172"/>
  <c r="R136" i="172" s="1"/>
  <c r="B136" i="172"/>
  <c r="C136" i="172"/>
  <c r="D136" i="172"/>
  <c r="E136" i="172"/>
  <c r="F136" i="172"/>
  <c r="G136" i="172" s="1"/>
  <c r="H136" i="172"/>
  <c r="A137" i="172"/>
  <c r="R137" i="172" s="1"/>
  <c r="B137" i="172"/>
  <c r="C137" i="172"/>
  <c r="D137" i="172"/>
  <c r="E137" i="172"/>
  <c r="F137" i="172"/>
  <c r="G137" i="172" s="1"/>
  <c r="H137" i="172"/>
  <c r="A138" i="172"/>
  <c r="R138" i="172" s="1"/>
  <c r="B138" i="172"/>
  <c r="C138" i="172"/>
  <c r="D138" i="172"/>
  <c r="E138" i="172"/>
  <c r="F138" i="172"/>
  <c r="G138" i="172" s="1"/>
  <c r="H138" i="172"/>
  <c r="A139" i="172"/>
  <c r="R139" i="172" s="1"/>
  <c r="B139" i="172"/>
  <c r="C139" i="172"/>
  <c r="D139" i="172"/>
  <c r="E139" i="172"/>
  <c r="F139" i="172"/>
  <c r="G139" i="172" s="1"/>
  <c r="H139" i="172"/>
  <c r="A140" i="172"/>
  <c r="R140" i="172" s="1"/>
  <c r="B140" i="172"/>
  <c r="C140" i="172"/>
  <c r="D140" i="172"/>
  <c r="E140" i="172"/>
  <c r="F140" i="172"/>
  <c r="G140" i="172" s="1"/>
  <c r="H140" i="172"/>
  <c r="A141" i="172"/>
  <c r="R141" i="172" s="1"/>
  <c r="B141" i="172"/>
  <c r="C141" i="172"/>
  <c r="D141" i="172"/>
  <c r="E141" i="172"/>
  <c r="F141" i="172"/>
  <c r="G141" i="172" s="1"/>
  <c r="H141" i="172"/>
  <c r="A142" i="172"/>
  <c r="R142" i="172" s="1"/>
  <c r="B142" i="172"/>
  <c r="C142" i="172"/>
  <c r="D142" i="172"/>
  <c r="E142" i="172"/>
  <c r="F142" i="172"/>
  <c r="G142" i="172" s="1"/>
  <c r="H142" i="172"/>
  <c r="A143" i="172"/>
  <c r="R143" i="172" s="1"/>
  <c r="B143" i="172"/>
  <c r="C143" i="172"/>
  <c r="D143" i="172"/>
  <c r="E143" i="172"/>
  <c r="F143" i="172"/>
  <c r="G143" i="172" s="1"/>
  <c r="H143" i="172"/>
  <c r="A144" i="172"/>
  <c r="R144" i="172" s="1"/>
  <c r="B144" i="172"/>
  <c r="C144" i="172"/>
  <c r="D144" i="172"/>
  <c r="E144" i="172"/>
  <c r="F144" i="172"/>
  <c r="G144" i="172" s="1"/>
  <c r="H144" i="172"/>
  <c r="A145" i="172"/>
  <c r="R145" i="172" s="1"/>
  <c r="B145" i="172"/>
  <c r="C145" i="172"/>
  <c r="D145" i="172"/>
  <c r="E145" i="172"/>
  <c r="F145" i="172"/>
  <c r="G145" i="172" s="1"/>
  <c r="H145" i="172"/>
  <c r="A146" i="172"/>
  <c r="R146" i="172" s="1"/>
  <c r="B146" i="172"/>
  <c r="C146" i="172"/>
  <c r="D146" i="172"/>
  <c r="E146" i="172"/>
  <c r="F146" i="172"/>
  <c r="G146" i="172" s="1"/>
  <c r="H146" i="172"/>
  <c r="A147" i="172"/>
  <c r="R147" i="172" s="1"/>
  <c r="B147" i="172"/>
  <c r="C147" i="172"/>
  <c r="D147" i="172"/>
  <c r="E147" i="172"/>
  <c r="F147" i="172"/>
  <c r="G147" i="172" s="1"/>
  <c r="H147" i="172"/>
  <c r="A148" i="172"/>
  <c r="R148" i="172" s="1"/>
  <c r="B148" i="172"/>
  <c r="C148" i="172"/>
  <c r="D148" i="172"/>
  <c r="E148" i="172"/>
  <c r="F148" i="172"/>
  <c r="G148" i="172" s="1"/>
  <c r="H148" i="172"/>
  <c r="A149" i="172"/>
  <c r="R149" i="172" s="1"/>
  <c r="B149" i="172"/>
  <c r="C149" i="172"/>
  <c r="D149" i="172"/>
  <c r="E149" i="172"/>
  <c r="F149" i="172"/>
  <c r="G149" i="172" s="1"/>
  <c r="H149" i="172"/>
  <c r="A150" i="172"/>
  <c r="R150" i="172" s="1"/>
  <c r="B150" i="172"/>
  <c r="C150" i="172"/>
  <c r="D150" i="172"/>
  <c r="E150" i="172"/>
  <c r="F150" i="172"/>
  <c r="G150" i="172" s="1"/>
  <c r="H150" i="172"/>
  <c r="A151" i="172"/>
  <c r="R151" i="172" s="1"/>
  <c r="B151" i="172"/>
  <c r="C151" i="172"/>
  <c r="D151" i="172"/>
  <c r="E151" i="172"/>
  <c r="F151" i="172"/>
  <c r="G151" i="172" s="1"/>
  <c r="H151" i="172"/>
  <c r="K151" i="172" s="1"/>
  <c r="A152" i="172"/>
  <c r="R152" i="172" s="1"/>
  <c r="B152" i="172"/>
  <c r="C152" i="172"/>
  <c r="D152" i="172"/>
  <c r="E152" i="172"/>
  <c r="F152" i="172"/>
  <c r="G152" i="172" s="1"/>
  <c r="H152" i="172"/>
  <c r="A153" i="172"/>
  <c r="R153" i="172" s="1"/>
  <c r="B153" i="172"/>
  <c r="C153" i="172"/>
  <c r="D153" i="172"/>
  <c r="E153" i="172"/>
  <c r="F153" i="172"/>
  <c r="G153" i="172" s="1"/>
  <c r="H153" i="172"/>
  <c r="A154" i="172"/>
  <c r="R154" i="172" s="1"/>
  <c r="B154" i="172"/>
  <c r="C154" i="172"/>
  <c r="D154" i="172"/>
  <c r="E154" i="172"/>
  <c r="F154" i="172"/>
  <c r="G154" i="172" s="1"/>
  <c r="H154" i="172"/>
  <c r="K154" i="172" s="1"/>
  <c r="A155" i="172"/>
  <c r="R155" i="172" s="1"/>
  <c r="B155" i="172"/>
  <c r="C155" i="172"/>
  <c r="D155" i="172"/>
  <c r="E155" i="172"/>
  <c r="F155" i="172"/>
  <c r="G155" i="172" s="1"/>
  <c r="H155" i="172"/>
  <c r="A156" i="172"/>
  <c r="R156" i="172" s="1"/>
  <c r="B156" i="172"/>
  <c r="C156" i="172"/>
  <c r="D156" i="172"/>
  <c r="E156" i="172"/>
  <c r="F156" i="172"/>
  <c r="G156" i="172" s="1"/>
  <c r="H156" i="172"/>
  <c r="A157" i="172"/>
  <c r="R157" i="172" s="1"/>
  <c r="B157" i="172"/>
  <c r="C157" i="172"/>
  <c r="D157" i="172"/>
  <c r="E157" i="172"/>
  <c r="F157" i="172"/>
  <c r="G157" i="172" s="1"/>
  <c r="H157" i="172"/>
  <c r="A158" i="172"/>
  <c r="R158" i="172" s="1"/>
  <c r="B158" i="172"/>
  <c r="C158" i="172"/>
  <c r="D158" i="172"/>
  <c r="E158" i="172"/>
  <c r="F158" i="172"/>
  <c r="G158" i="172" s="1"/>
  <c r="H158" i="172"/>
  <c r="A159" i="172"/>
  <c r="R159" i="172" s="1"/>
  <c r="B159" i="172"/>
  <c r="C159" i="172"/>
  <c r="D159" i="172"/>
  <c r="E159" i="172"/>
  <c r="F159" i="172"/>
  <c r="G159" i="172" s="1"/>
  <c r="H159" i="172"/>
  <c r="A160" i="172"/>
  <c r="R160" i="172" s="1"/>
  <c r="B160" i="172"/>
  <c r="C160" i="172"/>
  <c r="D160" i="172"/>
  <c r="E160" i="172"/>
  <c r="F160" i="172"/>
  <c r="G160" i="172" s="1"/>
  <c r="H160" i="172"/>
  <c r="A161" i="172"/>
  <c r="R161" i="172" s="1"/>
  <c r="B161" i="172"/>
  <c r="C161" i="172"/>
  <c r="D161" i="172"/>
  <c r="E161" i="172"/>
  <c r="F161" i="172"/>
  <c r="G161" i="172" s="1"/>
  <c r="H161" i="172"/>
  <c r="A162" i="172"/>
  <c r="R162" i="172" s="1"/>
  <c r="B162" i="172"/>
  <c r="C162" i="172"/>
  <c r="D162" i="172"/>
  <c r="E162" i="172"/>
  <c r="F162" i="172"/>
  <c r="G162" i="172" s="1"/>
  <c r="H162" i="172"/>
  <c r="K162" i="172" s="1"/>
  <c r="A163" i="172"/>
  <c r="R163" i="172" s="1"/>
  <c r="B163" i="172"/>
  <c r="C163" i="172"/>
  <c r="D163" i="172"/>
  <c r="E163" i="172"/>
  <c r="F163" i="172"/>
  <c r="G163" i="172" s="1"/>
  <c r="H163" i="172"/>
  <c r="A164" i="172"/>
  <c r="R164" i="172" s="1"/>
  <c r="B164" i="172"/>
  <c r="C164" i="172"/>
  <c r="D164" i="172"/>
  <c r="E164" i="172"/>
  <c r="F164" i="172"/>
  <c r="G164" i="172" s="1"/>
  <c r="H164" i="172"/>
  <c r="A165" i="172"/>
  <c r="R165" i="172" s="1"/>
  <c r="B165" i="172"/>
  <c r="C165" i="172"/>
  <c r="D165" i="172"/>
  <c r="E165" i="172"/>
  <c r="F165" i="172"/>
  <c r="G165" i="172" s="1"/>
  <c r="H165" i="172"/>
  <c r="A166" i="172"/>
  <c r="R166" i="172" s="1"/>
  <c r="B166" i="172"/>
  <c r="C166" i="172"/>
  <c r="D166" i="172"/>
  <c r="E166" i="172"/>
  <c r="F166" i="172"/>
  <c r="G166" i="172" s="1"/>
  <c r="H166" i="172"/>
  <c r="A167" i="172"/>
  <c r="R167" i="172" s="1"/>
  <c r="B167" i="172"/>
  <c r="C167" i="172"/>
  <c r="D167" i="172"/>
  <c r="E167" i="172"/>
  <c r="F167" i="172"/>
  <c r="G167" i="172" s="1"/>
  <c r="H167" i="172"/>
  <c r="A168" i="172"/>
  <c r="R168" i="172" s="1"/>
  <c r="B168" i="172"/>
  <c r="C168" i="172"/>
  <c r="D168" i="172"/>
  <c r="E168" i="172"/>
  <c r="F168" i="172"/>
  <c r="G168" i="172" s="1"/>
  <c r="H168" i="172"/>
  <c r="A169" i="172"/>
  <c r="R169" i="172" s="1"/>
  <c r="B169" i="172"/>
  <c r="C169" i="172"/>
  <c r="D169" i="172"/>
  <c r="E169" i="172"/>
  <c r="F169" i="172"/>
  <c r="G169" i="172" s="1"/>
  <c r="H169" i="172"/>
  <c r="A170" i="172"/>
  <c r="R170" i="172" s="1"/>
  <c r="B170" i="172"/>
  <c r="C170" i="172"/>
  <c r="D170" i="172"/>
  <c r="E170" i="172"/>
  <c r="F170" i="172"/>
  <c r="G170" i="172" s="1"/>
  <c r="H170" i="172"/>
  <c r="A171" i="172"/>
  <c r="R171" i="172" s="1"/>
  <c r="B171" i="172"/>
  <c r="C171" i="172"/>
  <c r="D171" i="172"/>
  <c r="E171" i="172"/>
  <c r="F171" i="172"/>
  <c r="G171" i="172" s="1"/>
  <c r="H171" i="172"/>
  <c r="A172" i="172"/>
  <c r="R172" i="172" s="1"/>
  <c r="B172" i="172"/>
  <c r="C172" i="172"/>
  <c r="D172" i="172"/>
  <c r="E172" i="172"/>
  <c r="F172" i="172"/>
  <c r="G172" i="172" s="1"/>
  <c r="H172" i="172"/>
  <c r="A173" i="172"/>
  <c r="R173" i="172" s="1"/>
  <c r="B173" i="172"/>
  <c r="C173" i="172"/>
  <c r="D173" i="172"/>
  <c r="E173" i="172"/>
  <c r="F173" i="172"/>
  <c r="G173" i="172" s="1"/>
  <c r="H173" i="172"/>
  <c r="A174" i="172"/>
  <c r="R174" i="172" s="1"/>
  <c r="B174" i="172"/>
  <c r="C174" i="172"/>
  <c r="D174" i="172"/>
  <c r="E174" i="172"/>
  <c r="F174" i="172"/>
  <c r="G174" i="172" s="1"/>
  <c r="H174" i="172"/>
  <c r="A175" i="172"/>
  <c r="R175" i="172" s="1"/>
  <c r="B175" i="172"/>
  <c r="C175" i="172"/>
  <c r="D175" i="172"/>
  <c r="E175" i="172"/>
  <c r="F175" i="172"/>
  <c r="G175" i="172" s="1"/>
  <c r="H175" i="172"/>
  <c r="A176" i="172"/>
  <c r="R176" i="172" s="1"/>
  <c r="B176" i="172"/>
  <c r="C176" i="172"/>
  <c r="D176" i="172"/>
  <c r="E176" i="172"/>
  <c r="F176" i="172"/>
  <c r="G176" i="172" s="1"/>
  <c r="H176" i="172"/>
  <c r="A177" i="172"/>
  <c r="R177" i="172" s="1"/>
  <c r="B177" i="172"/>
  <c r="C177" i="172"/>
  <c r="D177" i="172"/>
  <c r="E177" i="172"/>
  <c r="F177" i="172"/>
  <c r="G177" i="172" s="1"/>
  <c r="H177" i="172"/>
  <c r="A178" i="172"/>
  <c r="R178" i="172" s="1"/>
  <c r="B178" i="172"/>
  <c r="C178" i="172"/>
  <c r="D178" i="172"/>
  <c r="E178" i="172"/>
  <c r="F178" i="172"/>
  <c r="G178" i="172" s="1"/>
  <c r="H178" i="172"/>
  <c r="K178" i="172" s="1"/>
  <c r="A179" i="172"/>
  <c r="R179" i="172" s="1"/>
  <c r="B179" i="172"/>
  <c r="C179" i="172"/>
  <c r="D179" i="172"/>
  <c r="E179" i="172"/>
  <c r="F179" i="172"/>
  <c r="G179" i="172" s="1"/>
  <c r="H179" i="172"/>
  <c r="A180" i="172"/>
  <c r="R180" i="172" s="1"/>
  <c r="B180" i="172"/>
  <c r="C180" i="172"/>
  <c r="D180" i="172"/>
  <c r="E180" i="172"/>
  <c r="F180" i="172"/>
  <c r="G180" i="172" s="1"/>
  <c r="H180" i="172"/>
  <c r="A181" i="172"/>
  <c r="R181" i="172" s="1"/>
  <c r="B181" i="172"/>
  <c r="C181" i="172"/>
  <c r="D181" i="172"/>
  <c r="E181" i="172"/>
  <c r="F181" i="172"/>
  <c r="G181" i="172" s="1"/>
  <c r="H181" i="172"/>
  <c r="A182" i="172"/>
  <c r="R182" i="172" s="1"/>
  <c r="B182" i="172"/>
  <c r="C182" i="172"/>
  <c r="D182" i="172"/>
  <c r="E182" i="172"/>
  <c r="F182" i="172"/>
  <c r="G182" i="172" s="1"/>
  <c r="H182" i="172"/>
  <c r="A183" i="172"/>
  <c r="R183" i="172" s="1"/>
  <c r="B183" i="172"/>
  <c r="C183" i="172"/>
  <c r="D183" i="172"/>
  <c r="E183" i="172"/>
  <c r="F183" i="172"/>
  <c r="G183" i="172" s="1"/>
  <c r="H183" i="172"/>
  <c r="K183" i="172" s="1"/>
  <c r="A184" i="172"/>
  <c r="R184" i="172" s="1"/>
  <c r="B184" i="172"/>
  <c r="C184" i="172"/>
  <c r="D184" i="172"/>
  <c r="E184" i="172"/>
  <c r="F184" i="172"/>
  <c r="G184" i="172" s="1"/>
  <c r="H184" i="172"/>
  <c r="A185" i="172"/>
  <c r="R185" i="172" s="1"/>
  <c r="B185" i="172"/>
  <c r="C185" i="172"/>
  <c r="D185" i="172"/>
  <c r="E185" i="172"/>
  <c r="F185" i="172"/>
  <c r="G185" i="172" s="1"/>
  <c r="H185" i="172"/>
  <c r="A186" i="172"/>
  <c r="R186" i="172" s="1"/>
  <c r="B186" i="172"/>
  <c r="C186" i="172"/>
  <c r="D186" i="172"/>
  <c r="E186" i="172"/>
  <c r="F186" i="172"/>
  <c r="G186" i="172" s="1"/>
  <c r="H186" i="172"/>
  <c r="K186" i="172" s="1"/>
  <c r="A187" i="172"/>
  <c r="R187" i="172" s="1"/>
  <c r="B187" i="172"/>
  <c r="C187" i="172"/>
  <c r="D187" i="172"/>
  <c r="E187" i="172"/>
  <c r="F187" i="172"/>
  <c r="G187" i="172" s="1"/>
  <c r="H187" i="172"/>
  <c r="A188" i="172"/>
  <c r="R188" i="172" s="1"/>
  <c r="B188" i="172"/>
  <c r="C188" i="172"/>
  <c r="D188" i="172"/>
  <c r="E188" i="172"/>
  <c r="F188" i="172"/>
  <c r="G188" i="172" s="1"/>
  <c r="H188" i="172"/>
  <c r="A189" i="172"/>
  <c r="R189" i="172" s="1"/>
  <c r="B189" i="172"/>
  <c r="C189" i="172"/>
  <c r="D189" i="172"/>
  <c r="E189" i="172"/>
  <c r="F189" i="172"/>
  <c r="G189" i="172" s="1"/>
  <c r="H189" i="172"/>
  <c r="A190" i="172"/>
  <c r="R190" i="172" s="1"/>
  <c r="B190" i="172"/>
  <c r="C190" i="172"/>
  <c r="D190" i="172"/>
  <c r="E190" i="172"/>
  <c r="F190" i="172"/>
  <c r="G190" i="172" s="1"/>
  <c r="H190" i="172"/>
  <c r="A191" i="172"/>
  <c r="R191" i="172" s="1"/>
  <c r="B191" i="172"/>
  <c r="C191" i="172"/>
  <c r="D191" i="172"/>
  <c r="E191" i="172"/>
  <c r="F191" i="172"/>
  <c r="G191" i="172" s="1"/>
  <c r="H191" i="172"/>
  <c r="A192" i="172"/>
  <c r="R192" i="172" s="1"/>
  <c r="B192" i="172"/>
  <c r="C192" i="172"/>
  <c r="D192" i="172"/>
  <c r="E192" i="172"/>
  <c r="F192" i="172"/>
  <c r="G192" i="172" s="1"/>
  <c r="H192" i="172"/>
  <c r="A193" i="172"/>
  <c r="R193" i="172" s="1"/>
  <c r="B193" i="172"/>
  <c r="C193" i="172"/>
  <c r="D193" i="172"/>
  <c r="E193" i="172"/>
  <c r="F193" i="172"/>
  <c r="G193" i="172" s="1"/>
  <c r="H193" i="172"/>
  <c r="A194" i="172"/>
  <c r="R194" i="172" s="1"/>
  <c r="B194" i="172"/>
  <c r="C194" i="172"/>
  <c r="D194" i="172"/>
  <c r="E194" i="172"/>
  <c r="F194" i="172"/>
  <c r="G194" i="172" s="1"/>
  <c r="H194" i="172"/>
  <c r="A195" i="172"/>
  <c r="R195" i="172" s="1"/>
  <c r="B195" i="172"/>
  <c r="C195" i="172"/>
  <c r="D195" i="172"/>
  <c r="E195" i="172"/>
  <c r="F195" i="172"/>
  <c r="G195" i="172" s="1"/>
  <c r="H195" i="172"/>
  <c r="A196" i="172"/>
  <c r="R196" i="172" s="1"/>
  <c r="B196" i="172"/>
  <c r="C196" i="172"/>
  <c r="D196" i="172"/>
  <c r="E196" i="172"/>
  <c r="F196" i="172"/>
  <c r="G196" i="172" s="1"/>
  <c r="H196" i="172"/>
  <c r="A197" i="172"/>
  <c r="R197" i="172" s="1"/>
  <c r="B197" i="172"/>
  <c r="C197" i="172"/>
  <c r="D197" i="172"/>
  <c r="E197" i="172"/>
  <c r="F197" i="172"/>
  <c r="G197" i="172" s="1"/>
  <c r="H197" i="172"/>
  <c r="A198" i="172"/>
  <c r="R198" i="172" s="1"/>
  <c r="B198" i="172"/>
  <c r="C198" i="172"/>
  <c r="D198" i="172"/>
  <c r="E198" i="172"/>
  <c r="F198" i="172"/>
  <c r="G198" i="172" s="1"/>
  <c r="H198" i="172"/>
  <c r="A199" i="172"/>
  <c r="R199" i="172" s="1"/>
  <c r="B199" i="172"/>
  <c r="C199" i="172"/>
  <c r="D199" i="172"/>
  <c r="E199" i="172"/>
  <c r="F199" i="172"/>
  <c r="G199" i="172" s="1"/>
  <c r="H199" i="172"/>
  <c r="A200" i="172"/>
  <c r="R200" i="172" s="1"/>
  <c r="B200" i="172"/>
  <c r="C200" i="172"/>
  <c r="D200" i="172"/>
  <c r="E200" i="172"/>
  <c r="F200" i="172"/>
  <c r="G200" i="172" s="1"/>
  <c r="H200" i="172"/>
  <c r="A201" i="172"/>
  <c r="R201" i="172" s="1"/>
  <c r="B201" i="172"/>
  <c r="C201" i="172"/>
  <c r="D201" i="172"/>
  <c r="E201" i="172"/>
  <c r="F201" i="172"/>
  <c r="G201" i="172" s="1"/>
  <c r="H201" i="172"/>
  <c r="A202" i="172"/>
  <c r="R202" i="172" s="1"/>
  <c r="B202" i="172"/>
  <c r="C202" i="172"/>
  <c r="D202" i="172"/>
  <c r="E202" i="172"/>
  <c r="F202" i="172"/>
  <c r="G202" i="172" s="1"/>
  <c r="H202" i="172"/>
  <c r="A203" i="172"/>
  <c r="R203" i="172" s="1"/>
  <c r="B203" i="172"/>
  <c r="C203" i="172"/>
  <c r="D203" i="172"/>
  <c r="E203" i="172"/>
  <c r="F203" i="172"/>
  <c r="G203" i="172" s="1"/>
  <c r="H203" i="172"/>
  <c r="A204" i="172"/>
  <c r="R204" i="172" s="1"/>
  <c r="B204" i="172"/>
  <c r="C204" i="172"/>
  <c r="D204" i="172"/>
  <c r="E204" i="172"/>
  <c r="F204" i="172"/>
  <c r="G204" i="172" s="1"/>
  <c r="H204" i="172"/>
  <c r="A205" i="172"/>
  <c r="R205" i="172" s="1"/>
  <c r="B205" i="172"/>
  <c r="C205" i="172"/>
  <c r="D205" i="172"/>
  <c r="E205" i="172"/>
  <c r="F205" i="172"/>
  <c r="G205" i="172" s="1"/>
  <c r="H205" i="172"/>
  <c r="A206" i="172"/>
  <c r="R206" i="172" s="1"/>
  <c r="B206" i="172"/>
  <c r="C206" i="172"/>
  <c r="D206" i="172"/>
  <c r="E206" i="172"/>
  <c r="F206" i="172"/>
  <c r="G206" i="172" s="1"/>
  <c r="H206" i="172"/>
  <c r="A207" i="172"/>
  <c r="R207" i="172" s="1"/>
  <c r="B207" i="172"/>
  <c r="C207" i="172"/>
  <c r="D207" i="172"/>
  <c r="E207" i="172"/>
  <c r="F207" i="172"/>
  <c r="G207" i="172" s="1"/>
  <c r="H207" i="172"/>
  <c r="A208" i="172"/>
  <c r="R208" i="172" s="1"/>
  <c r="B208" i="172"/>
  <c r="C208" i="172"/>
  <c r="D208" i="172"/>
  <c r="E208" i="172"/>
  <c r="F208" i="172"/>
  <c r="G208" i="172" s="1"/>
  <c r="H208" i="172"/>
  <c r="A209" i="172"/>
  <c r="R209" i="172" s="1"/>
  <c r="B209" i="172"/>
  <c r="C209" i="172"/>
  <c r="D209" i="172"/>
  <c r="E209" i="172"/>
  <c r="F209" i="172"/>
  <c r="G209" i="172" s="1"/>
  <c r="H209" i="172"/>
  <c r="A210" i="172"/>
  <c r="R210" i="172" s="1"/>
  <c r="B210" i="172"/>
  <c r="C210" i="172"/>
  <c r="D210" i="172"/>
  <c r="E210" i="172"/>
  <c r="F210" i="172"/>
  <c r="G210" i="172" s="1"/>
  <c r="H210" i="172"/>
  <c r="A211" i="172"/>
  <c r="R211" i="172" s="1"/>
  <c r="B211" i="172"/>
  <c r="C211" i="172"/>
  <c r="D211" i="172"/>
  <c r="E211" i="172"/>
  <c r="F211" i="172"/>
  <c r="G211" i="172" s="1"/>
  <c r="H211" i="172"/>
  <c r="A212" i="172"/>
  <c r="R212" i="172" s="1"/>
  <c r="B212" i="172"/>
  <c r="C212" i="172"/>
  <c r="D212" i="172"/>
  <c r="E212" i="172"/>
  <c r="F212" i="172"/>
  <c r="G212" i="172" s="1"/>
  <c r="H212" i="172"/>
  <c r="A213" i="172"/>
  <c r="R213" i="172" s="1"/>
  <c r="B213" i="172"/>
  <c r="C213" i="172"/>
  <c r="D213" i="172"/>
  <c r="E213" i="172"/>
  <c r="F213" i="172"/>
  <c r="G213" i="172" s="1"/>
  <c r="H213" i="172"/>
  <c r="A214" i="172"/>
  <c r="R214" i="172" s="1"/>
  <c r="B214" i="172"/>
  <c r="C214" i="172"/>
  <c r="D214" i="172"/>
  <c r="E214" i="172"/>
  <c r="F214" i="172"/>
  <c r="G214" i="172" s="1"/>
  <c r="H214" i="172"/>
  <c r="A215" i="172"/>
  <c r="R215" i="172" s="1"/>
  <c r="B215" i="172"/>
  <c r="C215" i="172"/>
  <c r="D215" i="172"/>
  <c r="E215" i="172"/>
  <c r="F215" i="172"/>
  <c r="G215" i="172" s="1"/>
  <c r="H215" i="172"/>
  <c r="A216" i="172"/>
  <c r="R216" i="172" s="1"/>
  <c r="B216" i="172"/>
  <c r="C216" i="172"/>
  <c r="D216" i="172"/>
  <c r="E216" i="172"/>
  <c r="F216" i="172"/>
  <c r="G216" i="172" s="1"/>
  <c r="H216" i="172"/>
  <c r="A217" i="172"/>
  <c r="R217" i="172" s="1"/>
  <c r="B217" i="172"/>
  <c r="C217" i="172"/>
  <c r="D217" i="172"/>
  <c r="E217" i="172"/>
  <c r="F217" i="172"/>
  <c r="G217" i="172" s="1"/>
  <c r="H217" i="172"/>
  <c r="A218" i="172"/>
  <c r="R218" i="172" s="1"/>
  <c r="B218" i="172"/>
  <c r="C218" i="172"/>
  <c r="D218" i="172"/>
  <c r="E218" i="172"/>
  <c r="F218" i="172"/>
  <c r="G218" i="172" s="1"/>
  <c r="H218" i="172"/>
  <c r="A219" i="172"/>
  <c r="R219" i="172" s="1"/>
  <c r="B219" i="172"/>
  <c r="C219" i="172"/>
  <c r="D219" i="172"/>
  <c r="E219" i="172"/>
  <c r="F219" i="172"/>
  <c r="G219" i="172" s="1"/>
  <c r="H219" i="172"/>
  <c r="A220" i="172"/>
  <c r="R220" i="172" s="1"/>
  <c r="B220" i="172"/>
  <c r="C220" i="172"/>
  <c r="D220" i="172"/>
  <c r="E220" i="172"/>
  <c r="F220" i="172"/>
  <c r="G220" i="172" s="1"/>
  <c r="H220" i="172"/>
  <c r="A221" i="172"/>
  <c r="R221" i="172" s="1"/>
  <c r="B221" i="172"/>
  <c r="C221" i="172"/>
  <c r="D221" i="172"/>
  <c r="E221" i="172"/>
  <c r="F221" i="172"/>
  <c r="G221" i="172" s="1"/>
  <c r="H221" i="172"/>
  <c r="A222" i="172"/>
  <c r="R222" i="172" s="1"/>
  <c r="B222" i="172"/>
  <c r="C222" i="172"/>
  <c r="D222" i="172"/>
  <c r="E222" i="172"/>
  <c r="F222" i="172"/>
  <c r="G222" i="172" s="1"/>
  <c r="H222" i="172"/>
  <c r="A223" i="172"/>
  <c r="R223" i="172" s="1"/>
  <c r="B223" i="172"/>
  <c r="C223" i="172"/>
  <c r="D223" i="172"/>
  <c r="E223" i="172"/>
  <c r="F223" i="172"/>
  <c r="G223" i="172" s="1"/>
  <c r="H223" i="172"/>
  <c r="A224" i="172"/>
  <c r="R224" i="172" s="1"/>
  <c r="B224" i="172"/>
  <c r="C224" i="172"/>
  <c r="D224" i="172"/>
  <c r="E224" i="172"/>
  <c r="F224" i="172"/>
  <c r="G224" i="172" s="1"/>
  <c r="H224" i="172"/>
  <c r="A225" i="172"/>
  <c r="R225" i="172" s="1"/>
  <c r="B225" i="172"/>
  <c r="C225" i="172"/>
  <c r="D225" i="172"/>
  <c r="E225" i="172"/>
  <c r="F225" i="172"/>
  <c r="G225" i="172" s="1"/>
  <c r="H225" i="172"/>
  <c r="A226" i="172"/>
  <c r="R226" i="172" s="1"/>
  <c r="B226" i="172"/>
  <c r="C226" i="172"/>
  <c r="D226" i="172"/>
  <c r="E226" i="172"/>
  <c r="F226" i="172"/>
  <c r="G226" i="172" s="1"/>
  <c r="H226" i="172"/>
  <c r="A227" i="172"/>
  <c r="R227" i="172" s="1"/>
  <c r="B227" i="172"/>
  <c r="C227" i="172"/>
  <c r="D227" i="172"/>
  <c r="E227" i="172"/>
  <c r="F227" i="172"/>
  <c r="G227" i="172" s="1"/>
  <c r="H227" i="172"/>
  <c r="A228" i="172"/>
  <c r="R228" i="172" s="1"/>
  <c r="B228" i="172"/>
  <c r="C228" i="172"/>
  <c r="D228" i="172"/>
  <c r="E228" i="172"/>
  <c r="F228" i="172"/>
  <c r="G228" i="172" s="1"/>
  <c r="H228" i="172"/>
  <c r="A229" i="172"/>
  <c r="R229" i="172" s="1"/>
  <c r="B229" i="172"/>
  <c r="C229" i="172"/>
  <c r="D229" i="172"/>
  <c r="E229" i="172"/>
  <c r="F229" i="172"/>
  <c r="G229" i="172" s="1"/>
  <c r="H229" i="172"/>
  <c r="A230" i="172"/>
  <c r="R230" i="172" s="1"/>
  <c r="B230" i="172"/>
  <c r="C230" i="172"/>
  <c r="D230" i="172"/>
  <c r="E230" i="172"/>
  <c r="F230" i="172"/>
  <c r="G230" i="172" s="1"/>
  <c r="H230" i="172"/>
  <c r="A231" i="172"/>
  <c r="R231" i="172" s="1"/>
  <c r="B231" i="172"/>
  <c r="C231" i="172"/>
  <c r="D231" i="172"/>
  <c r="E231" i="172"/>
  <c r="F231" i="172"/>
  <c r="G231" i="172" s="1"/>
  <c r="H231" i="172"/>
  <c r="A232" i="172"/>
  <c r="R232" i="172" s="1"/>
  <c r="B232" i="172"/>
  <c r="C232" i="172"/>
  <c r="D232" i="172"/>
  <c r="E232" i="172"/>
  <c r="F232" i="172"/>
  <c r="G232" i="172" s="1"/>
  <c r="H232" i="172"/>
  <c r="A233" i="172"/>
  <c r="R233" i="172" s="1"/>
  <c r="B233" i="172"/>
  <c r="C233" i="172"/>
  <c r="D233" i="172"/>
  <c r="E233" i="172"/>
  <c r="F233" i="172"/>
  <c r="G233" i="172" s="1"/>
  <c r="H233" i="172"/>
  <c r="A234" i="172"/>
  <c r="R234" i="172" s="1"/>
  <c r="B234" i="172"/>
  <c r="C234" i="172"/>
  <c r="D234" i="172"/>
  <c r="E234" i="172"/>
  <c r="F234" i="172"/>
  <c r="G234" i="172" s="1"/>
  <c r="H234" i="172"/>
  <c r="A235" i="172"/>
  <c r="R235" i="172" s="1"/>
  <c r="B235" i="172"/>
  <c r="C235" i="172"/>
  <c r="D235" i="172"/>
  <c r="E235" i="172"/>
  <c r="F235" i="172"/>
  <c r="G235" i="172" s="1"/>
  <c r="H235" i="172"/>
  <c r="A236" i="172"/>
  <c r="R236" i="172" s="1"/>
  <c r="B236" i="172"/>
  <c r="C236" i="172"/>
  <c r="D236" i="172"/>
  <c r="E236" i="172"/>
  <c r="F236" i="172"/>
  <c r="G236" i="172" s="1"/>
  <c r="H236" i="172"/>
  <c r="A237" i="172"/>
  <c r="R237" i="172" s="1"/>
  <c r="B237" i="172"/>
  <c r="C237" i="172"/>
  <c r="D237" i="172"/>
  <c r="E237" i="172"/>
  <c r="F237" i="172"/>
  <c r="G237" i="172" s="1"/>
  <c r="H237" i="172"/>
  <c r="A238" i="172"/>
  <c r="R238" i="172" s="1"/>
  <c r="B238" i="172"/>
  <c r="C238" i="172"/>
  <c r="D238" i="172"/>
  <c r="E238" i="172"/>
  <c r="F238" i="172"/>
  <c r="G238" i="172" s="1"/>
  <c r="H238" i="172"/>
  <c r="A239" i="172"/>
  <c r="R239" i="172" s="1"/>
  <c r="B239" i="172"/>
  <c r="C239" i="172"/>
  <c r="D239" i="172"/>
  <c r="E239" i="172"/>
  <c r="F239" i="172"/>
  <c r="G239" i="172" s="1"/>
  <c r="H239" i="172"/>
  <c r="A240" i="172"/>
  <c r="R240" i="172" s="1"/>
  <c r="B240" i="172"/>
  <c r="C240" i="172"/>
  <c r="D240" i="172"/>
  <c r="E240" i="172"/>
  <c r="F240" i="172"/>
  <c r="G240" i="172" s="1"/>
  <c r="H240" i="172"/>
  <c r="A241" i="172"/>
  <c r="R241" i="172" s="1"/>
  <c r="B241" i="172"/>
  <c r="C241" i="172"/>
  <c r="D241" i="172"/>
  <c r="E241" i="172"/>
  <c r="F241" i="172"/>
  <c r="G241" i="172" s="1"/>
  <c r="H241" i="172"/>
  <c r="A242" i="172"/>
  <c r="R242" i="172" s="1"/>
  <c r="B242" i="172"/>
  <c r="C242" i="172"/>
  <c r="D242" i="172"/>
  <c r="E242" i="172"/>
  <c r="F242" i="172"/>
  <c r="G242" i="172" s="1"/>
  <c r="H242" i="172"/>
  <c r="A243" i="172"/>
  <c r="R243" i="172" s="1"/>
  <c r="B243" i="172"/>
  <c r="C243" i="172"/>
  <c r="D243" i="172"/>
  <c r="E243" i="172"/>
  <c r="F243" i="172"/>
  <c r="G243" i="172" s="1"/>
  <c r="H243" i="172"/>
  <c r="A244" i="172"/>
  <c r="R244" i="172" s="1"/>
  <c r="B244" i="172"/>
  <c r="C244" i="172"/>
  <c r="D244" i="172"/>
  <c r="E244" i="172"/>
  <c r="F244" i="172"/>
  <c r="G244" i="172" s="1"/>
  <c r="H244" i="172"/>
  <c r="A245" i="172"/>
  <c r="R245" i="172" s="1"/>
  <c r="B245" i="172"/>
  <c r="C245" i="172"/>
  <c r="D245" i="172"/>
  <c r="E245" i="172"/>
  <c r="F245" i="172"/>
  <c r="G245" i="172" s="1"/>
  <c r="H245" i="172"/>
  <c r="A246" i="172"/>
  <c r="R246" i="172" s="1"/>
  <c r="B246" i="172"/>
  <c r="C246" i="172"/>
  <c r="D246" i="172"/>
  <c r="E246" i="172"/>
  <c r="F246" i="172"/>
  <c r="G246" i="172" s="1"/>
  <c r="H246" i="172"/>
  <c r="A247" i="172"/>
  <c r="R247" i="172" s="1"/>
  <c r="B247" i="172"/>
  <c r="C247" i="172"/>
  <c r="D247" i="172"/>
  <c r="E247" i="172"/>
  <c r="F247" i="172"/>
  <c r="G247" i="172" s="1"/>
  <c r="H247" i="172"/>
  <c r="A248" i="172"/>
  <c r="R248" i="172" s="1"/>
  <c r="B248" i="172"/>
  <c r="C248" i="172"/>
  <c r="D248" i="172"/>
  <c r="E248" i="172"/>
  <c r="F248" i="172"/>
  <c r="G248" i="172" s="1"/>
  <c r="H248" i="172"/>
  <c r="A249" i="172"/>
  <c r="R249" i="172" s="1"/>
  <c r="B249" i="172"/>
  <c r="C249" i="172"/>
  <c r="D249" i="172"/>
  <c r="E249" i="172"/>
  <c r="F249" i="172"/>
  <c r="G249" i="172" s="1"/>
  <c r="H249" i="172"/>
  <c r="A250" i="172"/>
  <c r="R250" i="172" s="1"/>
  <c r="B250" i="172"/>
  <c r="C250" i="172"/>
  <c r="D250" i="172"/>
  <c r="E250" i="172"/>
  <c r="F250" i="172"/>
  <c r="G250" i="172" s="1"/>
  <c r="H250" i="172"/>
  <c r="A251" i="172"/>
  <c r="R251" i="172" s="1"/>
  <c r="B251" i="172"/>
  <c r="C251" i="172"/>
  <c r="D251" i="172"/>
  <c r="E251" i="172"/>
  <c r="F251" i="172"/>
  <c r="G251" i="172" s="1"/>
  <c r="H251" i="172"/>
  <c r="J9" i="172"/>
  <c r="J10" i="172"/>
  <c r="J11" i="172"/>
  <c r="J12" i="172"/>
  <c r="J13" i="172"/>
  <c r="J14" i="172"/>
  <c r="J15" i="172"/>
  <c r="J16" i="172"/>
  <c r="J17" i="172"/>
  <c r="J18" i="172"/>
  <c r="J19" i="172"/>
  <c r="J20" i="172"/>
  <c r="J21" i="172"/>
  <c r="J22" i="172"/>
  <c r="J23" i="172"/>
  <c r="J24" i="172"/>
  <c r="J25" i="172"/>
  <c r="J26" i="172"/>
  <c r="J27" i="172"/>
  <c r="J28" i="172"/>
  <c r="J29" i="172"/>
  <c r="J30" i="172"/>
  <c r="J31" i="172"/>
  <c r="J32" i="172"/>
  <c r="J33" i="172"/>
  <c r="J34" i="172"/>
  <c r="J35" i="172"/>
  <c r="J36" i="172"/>
  <c r="J37" i="172"/>
  <c r="J38" i="172"/>
  <c r="J39" i="172"/>
  <c r="J40" i="172"/>
  <c r="J41" i="172"/>
  <c r="J42" i="172"/>
  <c r="J43" i="172"/>
  <c r="J44" i="172"/>
  <c r="J45" i="172"/>
  <c r="J46" i="172"/>
  <c r="J47" i="172"/>
  <c r="J48" i="172"/>
  <c r="J49" i="172"/>
  <c r="J57" i="172"/>
  <c r="J58" i="172"/>
  <c r="J59" i="172"/>
  <c r="J60" i="172"/>
  <c r="J61" i="172"/>
  <c r="J62" i="172"/>
  <c r="J63" i="172"/>
  <c r="J64" i="172"/>
  <c r="J65" i="172"/>
  <c r="J66" i="172"/>
  <c r="J67" i="172"/>
  <c r="J68" i="172"/>
  <c r="J69" i="172"/>
  <c r="J70" i="172"/>
  <c r="J71" i="172"/>
  <c r="J84" i="172"/>
  <c r="J85" i="172"/>
  <c r="J86" i="172"/>
  <c r="J87" i="172"/>
  <c r="J88" i="172"/>
  <c r="J89" i="172"/>
  <c r="J90" i="172"/>
  <c r="J91" i="172"/>
  <c r="J92" i="172"/>
  <c r="J93" i="172"/>
  <c r="J94" i="172"/>
  <c r="J95" i="172"/>
  <c r="J96" i="172"/>
  <c r="J97" i="172"/>
  <c r="J98" i="172"/>
  <c r="J99" i="172"/>
  <c r="J100" i="172"/>
  <c r="J101" i="172"/>
  <c r="J102" i="172"/>
  <c r="J103" i="172"/>
  <c r="J104" i="172"/>
  <c r="J105" i="172"/>
  <c r="J106" i="172"/>
  <c r="J107" i="172"/>
  <c r="J108" i="172"/>
  <c r="J109" i="172"/>
  <c r="J110" i="172"/>
  <c r="J111" i="172"/>
  <c r="J112" i="172"/>
  <c r="J113" i="172"/>
  <c r="J114" i="172"/>
  <c r="J115" i="172"/>
  <c r="J116" i="172"/>
  <c r="J117" i="172"/>
  <c r="J118" i="172"/>
  <c r="J119" i="172"/>
  <c r="J120" i="172"/>
  <c r="J121" i="172"/>
  <c r="J122" i="172"/>
  <c r="J123" i="172"/>
  <c r="J124" i="172"/>
  <c r="J125" i="172"/>
  <c r="J126" i="172"/>
  <c r="J127" i="172"/>
  <c r="J128" i="172"/>
  <c r="J129" i="172"/>
  <c r="J130" i="172"/>
  <c r="J131" i="172"/>
  <c r="J132" i="172"/>
  <c r="J133" i="172"/>
  <c r="J134" i="172"/>
  <c r="J135" i="172"/>
  <c r="J136" i="172"/>
  <c r="J137" i="172"/>
  <c r="J138" i="172"/>
  <c r="J139" i="172"/>
  <c r="J140" i="172"/>
  <c r="J141" i="172"/>
  <c r="J142" i="172"/>
  <c r="J143" i="172"/>
  <c r="J144" i="172"/>
  <c r="J145" i="172"/>
  <c r="J146" i="172"/>
  <c r="J147" i="172"/>
  <c r="J148" i="172"/>
  <c r="J168" i="172"/>
  <c r="J169" i="172"/>
  <c r="J170" i="172"/>
  <c r="J171" i="172"/>
  <c r="J172" i="172"/>
  <c r="J173" i="172"/>
  <c r="J174" i="172"/>
  <c r="J175" i="172"/>
  <c r="J176" i="172"/>
  <c r="J177" i="172"/>
  <c r="J191" i="172"/>
  <c r="J192" i="172"/>
  <c r="J193" i="172"/>
  <c r="J194" i="172"/>
  <c r="J195" i="172"/>
  <c r="J196" i="172"/>
  <c r="J197" i="172"/>
  <c r="J198" i="172"/>
  <c r="J199" i="172"/>
  <c r="J200" i="172"/>
  <c r="J201" i="172"/>
  <c r="J202" i="172"/>
  <c r="J203" i="172"/>
  <c r="J204" i="172"/>
  <c r="J205" i="172"/>
  <c r="J206" i="172"/>
  <c r="J207" i="172"/>
  <c r="J208" i="172"/>
  <c r="J209" i="172"/>
  <c r="J210" i="172"/>
  <c r="J211" i="172"/>
  <c r="J212" i="172"/>
  <c r="J213" i="172"/>
  <c r="J214" i="172"/>
  <c r="J215" i="172"/>
  <c r="J216" i="172"/>
  <c r="J217" i="172"/>
  <c r="J218" i="172"/>
  <c r="J219" i="172"/>
  <c r="J220" i="172"/>
  <c r="J221" i="172"/>
  <c r="J222" i="172"/>
  <c r="J223" i="172"/>
  <c r="J224" i="172"/>
  <c r="J225" i="172"/>
  <c r="J226" i="172"/>
  <c r="J227" i="172"/>
  <c r="J228" i="172"/>
  <c r="J229" i="172"/>
  <c r="J230" i="172"/>
  <c r="J231" i="172"/>
  <c r="J232" i="172"/>
  <c r="J233" i="172"/>
  <c r="J234" i="172"/>
  <c r="J235" i="172"/>
  <c r="J236" i="172"/>
  <c r="J237" i="172"/>
  <c r="J238" i="172"/>
  <c r="J244" i="172"/>
  <c r="J245" i="172"/>
  <c r="J246" i="172"/>
  <c r="J247" i="172"/>
  <c r="J248" i="172"/>
  <c r="J249" i="172"/>
  <c r="J250" i="172"/>
  <c r="J251" i="172"/>
  <c r="J8" i="172"/>
  <c r="B9" i="172"/>
  <c r="C9" i="172"/>
  <c r="D9" i="172"/>
  <c r="E9" i="172"/>
  <c r="F9" i="172"/>
  <c r="G9" i="172" s="1"/>
  <c r="B10" i="172"/>
  <c r="C10" i="172"/>
  <c r="D10" i="172"/>
  <c r="E10" i="172"/>
  <c r="F10" i="172"/>
  <c r="G10" i="172" s="1"/>
  <c r="B11" i="172"/>
  <c r="C11" i="172"/>
  <c r="D11" i="172"/>
  <c r="E11" i="172"/>
  <c r="F11" i="172"/>
  <c r="G11" i="172" s="1"/>
  <c r="B12" i="172"/>
  <c r="C12" i="172"/>
  <c r="D12" i="172"/>
  <c r="E12" i="172"/>
  <c r="F12" i="172"/>
  <c r="G12" i="172" s="1"/>
  <c r="B13" i="172"/>
  <c r="C13" i="172"/>
  <c r="D13" i="172"/>
  <c r="E13" i="172"/>
  <c r="F13" i="172"/>
  <c r="G13" i="172" s="1"/>
  <c r="B14" i="172"/>
  <c r="C14" i="172"/>
  <c r="D14" i="172"/>
  <c r="E14" i="172"/>
  <c r="F14" i="172"/>
  <c r="G14" i="172" s="1"/>
  <c r="B15" i="172"/>
  <c r="C15" i="172"/>
  <c r="D15" i="172"/>
  <c r="E15" i="172"/>
  <c r="F15" i="172"/>
  <c r="G15" i="172" s="1"/>
  <c r="B16" i="172"/>
  <c r="C16" i="172"/>
  <c r="D16" i="172"/>
  <c r="E16" i="172"/>
  <c r="F16" i="172"/>
  <c r="G16" i="172" s="1"/>
  <c r="B17" i="172"/>
  <c r="C17" i="172"/>
  <c r="D17" i="172"/>
  <c r="E17" i="172"/>
  <c r="F17" i="172"/>
  <c r="G17" i="172" s="1"/>
  <c r="B18" i="172"/>
  <c r="C18" i="172"/>
  <c r="D18" i="172"/>
  <c r="E18" i="172"/>
  <c r="F18" i="172"/>
  <c r="G18" i="172" s="1"/>
  <c r="B19" i="172"/>
  <c r="C19" i="172"/>
  <c r="D19" i="172"/>
  <c r="E19" i="172"/>
  <c r="F19" i="172"/>
  <c r="G19" i="172" s="1"/>
  <c r="B20" i="172"/>
  <c r="C20" i="172"/>
  <c r="D20" i="172"/>
  <c r="E20" i="172"/>
  <c r="F20" i="172"/>
  <c r="G20" i="172" s="1"/>
  <c r="B21" i="172"/>
  <c r="C21" i="172"/>
  <c r="D21" i="172"/>
  <c r="E21" i="172"/>
  <c r="F21" i="172"/>
  <c r="G21" i="172" s="1"/>
  <c r="B22" i="172"/>
  <c r="C22" i="172"/>
  <c r="D22" i="172"/>
  <c r="E22" i="172"/>
  <c r="F22" i="172"/>
  <c r="G22" i="172" s="1"/>
  <c r="B23" i="172"/>
  <c r="C23" i="172"/>
  <c r="D23" i="172"/>
  <c r="E23" i="172"/>
  <c r="F23" i="172"/>
  <c r="G23" i="172" s="1"/>
  <c r="B24" i="172"/>
  <c r="C24" i="172"/>
  <c r="D24" i="172"/>
  <c r="E24" i="172"/>
  <c r="F24" i="172"/>
  <c r="G24" i="172" s="1"/>
  <c r="B25" i="172"/>
  <c r="C25" i="172"/>
  <c r="D25" i="172"/>
  <c r="E25" i="172"/>
  <c r="F25" i="172"/>
  <c r="G25" i="172" s="1"/>
  <c r="B26" i="172"/>
  <c r="C26" i="172"/>
  <c r="D26" i="172"/>
  <c r="E26" i="172"/>
  <c r="F26" i="172"/>
  <c r="G26" i="172" s="1"/>
  <c r="B27" i="172"/>
  <c r="C27" i="172"/>
  <c r="D27" i="172"/>
  <c r="E27" i="172"/>
  <c r="F27" i="172"/>
  <c r="G27" i="172" s="1"/>
  <c r="B28" i="172"/>
  <c r="C28" i="172"/>
  <c r="D28" i="172"/>
  <c r="E28" i="172"/>
  <c r="F28" i="172"/>
  <c r="G28" i="172" s="1"/>
  <c r="B29" i="172"/>
  <c r="C29" i="172"/>
  <c r="D29" i="172"/>
  <c r="E29" i="172"/>
  <c r="F29" i="172"/>
  <c r="G29" i="172" s="1"/>
  <c r="B30" i="172"/>
  <c r="C30" i="172"/>
  <c r="D30" i="172"/>
  <c r="E30" i="172"/>
  <c r="F30" i="172"/>
  <c r="G30" i="172" s="1"/>
  <c r="B31" i="172"/>
  <c r="C31" i="172"/>
  <c r="D31" i="172"/>
  <c r="E31" i="172"/>
  <c r="F31" i="172"/>
  <c r="G31" i="172" s="1"/>
  <c r="B32" i="172"/>
  <c r="C32" i="172"/>
  <c r="D32" i="172"/>
  <c r="E32" i="172"/>
  <c r="F32" i="172"/>
  <c r="G32" i="172" s="1"/>
  <c r="B33" i="172"/>
  <c r="C33" i="172"/>
  <c r="D33" i="172"/>
  <c r="E33" i="172"/>
  <c r="F33" i="172"/>
  <c r="G33" i="172" s="1"/>
  <c r="B34" i="172"/>
  <c r="C34" i="172"/>
  <c r="D34" i="172"/>
  <c r="E34" i="172"/>
  <c r="F34" i="172"/>
  <c r="G34" i="172" s="1"/>
  <c r="B35" i="172"/>
  <c r="C35" i="172"/>
  <c r="D35" i="172"/>
  <c r="E35" i="172"/>
  <c r="F35" i="172"/>
  <c r="G35" i="172" s="1"/>
  <c r="B36" i="172"/>
  <c r="C36" i="172"/>
  <c r="D36" i="172"/>
  <c r="E36" i="172"/>
  <c r="F36" i="172"/>
  <c r="G36" i="172" s="1"/>
  <c r="B37" i="172"/>
  <c r="C37" i="172"/>
  <c r="D37" i="172"/>
  <c r="E37" i="172"/>
  <c r="F37" i="172"/>
  <c r="G37" i="172" s="1"/>
  <c r="B38" i="172"/>
  <c r="C38" i="172"/>
  <c r="D38" i="172"/>
  <c r="E38" i="172"/>
  <c r="F38" i="172"/>
  <c r="G38" i="172" s="1"/>
  <c r="B39" i="172"/>
  <c r="C39" i="172"/>
  <c r="D39" i="172"/>
  <c r="E39" i="172"/>
  <c r="F39" i="172"/>
  <c r="G39" i="172" s="1"/>
  <c r="B40" i="172"/>
  <c r="C40" i="172"/>
  <c r="D40" i="172"/>
  <c r="E40" i="172"/>
  <c r="F40" i="172"/>
  <c r="G40" i="172" s="1"/>
  <c r="B41" i="172"/>
  <c r="C41" i="172"/>
  <c r="D41" i="172"/>
  <c r="E41" i="172"/>
  <c r="F41" i="172"/>
  <c r="G41" i="172" s="1"/>
  <c r="B42" i="172"/>
  <c r="C42" i="172"/>
  <c r="D42" i="172"/>
  <c r="E42" i="172"/>
  <c r="F42" i="172"/>
  <c r="G42" i="172" s="1"/>
  <c r="B43" i="172"/>
  <c r="C43" i="172"/>
  <c r="D43" i="172"/>
  <c r="E43" i="172"/>
  <c r="F43" i="172"/>
  <c r="G43" i="172" s="1"/>
  <c r="B44" i="172"/>
  <c r="C44" i="172"/>
  <c r="D44" i="172"/>
  <c r="E44" i="172"/>
  <c r="F44" i="172"/>
  <c r="G44" i="172" s="1"/>
  <c r="B45" i="172"/>
  <c r="C45" i="172"/>
  <c r="D45" i="172"/>
  <c r="E45" i="172"/>
  <c r="F45" i="172"/>
  <c r="G45" i="172" s="1"/>
  <c r="B46" i="172"/>
  <c r="C46" i="172"/>
  <c r="D46" i="172"/>
  <c r="E46" i="172"/>
  <c r="F46" i="172"/>
  <c r="G46" i="172" s="1"/>
  <c r="B47" i="172"/>
  <c r="C47" i="172"/>
  <c r="D47" i="172"/>
  <c r="E47" i="172"/>
  <c r="F47" i="172"/>
  <c r="G47" i="172" s="1"/>
  <c r="B48" i="172"/>
  <c r="C48" i="172"/>
  <c r="D48" i="172"/>
  <c r="E48" i="172"/>
  <c r="F48" i="172"/>
  <c r="G48" i="172" s="1"/>
  <c r="A9" i="172"/>
  <c r="R9" i="172" s="1"/>
  <c r="A10" i="172"/>
  <c r="R10" i="172" s="1"/>
  <c r="A11" i="172"/>
  <c r="R11" i="172" s="1"/>
  <c r="A12" i="172"/>
  <c r="R12" i="172" s="1"/>
  <c r="A13" i="172"/>
  <c r="R13" i="172" s="1"/>
  <c r="A14" i="172"/>
  <c r="R14" i="172" s="1"/>
  <c r="A15" i="172"/>
  <c r="R15" i="172" s="1"/>
  <c r="A16" i="172"/>
  <c r="R16" i="172" s="1"/>
  <c r="A17" i="172"/>
  <c r="R17" i="172" s="1"/>
  <c r="A18" i="172"/>
  <c r="R18" i="172" s="1"/>
  <c r="A19" i="172"/>
  <c r="R19" i="172" s="1"/>
  <c r="A20" i="172"/>
  <c r="R20" i="172" s="1"/>
  <c r="A21" i="172"/>
  <c r="R21" i="172" s="1"/>
  <c r="A22" i="172"/>
  <c r="R22" i="172" s="1"/>
  <c r="A23" i="172"/>
  <c r="R23" i="172" s="1"/>
  <c r="A24" i="172"/>
  <c r="R24" i="172" s="1"/>
  <c r="A25" i="172"/>
  <c r="R25" i="172" s="1"/>
  <c r="A26" i="172"/>
  <c r="R26" i="172" s="1"/>
  <c r="A27" i="172"/>
  <c r="R27" i="172" s="1"/>
  <c r="A28" i="172"/>
  <c r="R28" i="172" s="1"/>
  <c r="A29" i="172"/>
  <c r="R29" i="172" s="1"/>
  <c r="A30" i="172"/>
  <c r="R30" i="172" s="1"/>
  <c r="A31" i="172"/>
  <c r="R31" i="172" s="1"/>
  <c r="A32" i="172"/>
  <c r="R32" i="172" s="1"/>
  <c r="A33" i="172"/>
  <c r="R33" i="172" s="1"/>
  <c r="A34" i="172"/>
  <c r="R34" i="172" s="1"/>
  <c r="A35" i="172"/>
  <c r="R35" i="172" s="1"/>
  <c r="A36" i="172"/>
  <c r="R36" i="172" s="1"/>
  <c r="A37" i="172"/>
  <c r="R37" i="172" s="1"/>
  <c r="A38" i="172"/>
  <c r="R38" i="172" s="1"/>
  <c r="A39" i="172"/>
  <c r="R39" i="172" s="1"/>
  <c r="A40" i="172"/>
  <c r="R40" i="172" s="1"/>
  <c r="A41" i="172"/>
  <c r="R41" i="172" s="1"/>
  <c r="A42" i="172"/>
  <c r="R42" i="172" s="1"/>
  <c r="A43" i="172"/>
  <c r="R43" i="172" s="1"/>
  <c r="A44" i="172"/>
  <c r="R44" i="172" s="1"/>
  <c r="A45" i="172"/>
  <c r="R45" i="172" s="1"/>
  <c r="A46" i="172"/>
  <c r="R46" i="172" s="1"/>
  <c r="A47" i="172"/>
  <c r="R47" i="172" s="1"/>
  <c r="A48" i="172"/>
  <c r="R48" i="172" s="1"/>
  <c r="J18" i="2"/>
  <c r="I14" i="40"/>
  <c r="P42" i="112"/>
  <c r="P43" i="112"/>
  <c r="E7" i="102"/>
  <c r="C7" i="102"/>
  <c r="E11" i="101"/>
  <c r="C11" i="101"/>
  <c r="E24" i="101"/>
  <c r="C24" i="101"/>
  <c r="E19" i="101"/>
  <c r="C19" i="101"/>
  <c r="E14" i="101"/>
  <c r="C14" i="101"/>
  <c r="E34" i="101"/>
  <c r="C34" i="101"/>
  <c r="E37" i="101"/>
  <c r="C37" i="101"/>
  <c r="AX49" i="124"/>
  <c r="C7" i="101"/>
  <c r="E7" i="101"/>
  <c r="C8" i="101"/>
  <c r="E8" i="101"/>
  <c r="C9" i="101"/>
  <c r="E9" i="101"/>
  <c r="C10" i="101"/>
  <c r="E10" i="101"/>
  <c r="C12" i="101"/>
  <c r="E12" i="101"/>
  <c r="C13" i="101"/>
  <c r="E13" i="101"/>
  <c r="C15" i="101"/>
  <c r="E15" i="101"/>
  <c r="C16" i="101"/>
  <c r="E16" i="101"/>
  <c r="C17" i="101"/>
  <c r="E17" i="101"/>
  <c r="C18" i="101"/>
  <c r="E18" i="101"/>
  <c r="C20" i="101"/>
  <c r="E20" i="101"/>
  <c r="C21" i="101"/>
  <c r="E21" i="101"/>
  <c r="C22" i="101"/>
  <c r="E22" i="101"/>
  <c r="C23" i="101"/>
  <c r="E23" i="101"/>
  <c r="C25" i="101"/>
  <c r="E25" i="101"/>
  <c r="C26" i="101"/>
  <c r="E26" i="101"/>
  <c r="C27" i="101"/>
  <c r="E27" i="101"/>
  <c r="C28" i="101"/>
  <c r="E28" i="101"/>
  <c r="C29" i="101"/>
  <c r="E29" i="101"/>
  <c r="C30" i="101"/>
  <c r="E30" i="101"/>
  <c r="C31" i="101"/>
  <c r="E31" i="101"/>
  <c r="C32" i="101"/>
  <c r="E32" i="101"/>
  <c r="C33" i="101"/>
  <c r="E33" i="101"/>
  <c r="C35" i="101"/>
  <c r="E35" i="101"/>
  <c r="C38" i="101"/>
  <c r="E38" i="101"/>
  <c r="C6" i="102"/>
  <c r="E6" i="102"/>
  <c r="C8" i="102"/>
  <c r="E8" i="102"/>
  <c r="C11" i="102"/>
  <c r="E11" i="102"/>
  <c r="C12" i="102"/>
  <c r="E12" i="102"/>
  <c r="C13" i="102"/>
  <c r="E13" i="102"/>
  <c r="C14" i="102"/>
  <c r="E14" i="102"/>
  <c r="C15" i="102"/>
  <c r="E15" i="102"/>
  <c r="C16" i="102"/>
  <c r="E16" i="102"/>
  <c r="C18" i="102"/>
  <c r="E18" i="102"/>
  <c r="C19" i="102"/>
  <c r="E19" i="102"/>
  <c r="C20" i="102"/>
  <c r="E20" i="102"/>
  <c r="C21" i="102"/>
  <c r="E21" i="102"/>
  <c r="C22" i="102"/>
  <c r="E22" i="102"/>
  <c r="C25" i="102"/>
  <c r="E25" i="102"/>
  <c r="C26" i="102"/>
  <c r="E26" i="102"/>
  <c r="C27" i="102"/>
  <c r="E27" i="102"/>
  <c r="AX197" i="124"/>
  <c r="AX202" i="124"/>
  <c r="I13" i="40"/>
  <c r="I15" i="40"/>
  <c r="AX9" i="124"/>
  <c r="AX10" i="124"/>
  <c r="AX11" i="124"/>
  <c r="AX12" i="124"/>
  <c r="AX13" i="124"/>
  <c r="AX14" i="124"/>
  <c r="AX15" i="124"/>
  <c r="AX16" i="124"/>
  <c r="AX17" i="124"/>
  <c r="AX21" i="124"/>
  <c r="AX22" i="124"/>
  <c r="AX23" i="124"/>
  <c r="AX24" i="124"/>
  <c r="AX25" i="124"/>
  <c r="AX26" i="124"/>
  <c r="AX27" i="124"/>
  <c r="AX28" i="124"/>
  <c r="AX29" i="124"/>
  <c r="AX30" i="124"/>
  <c r="AX31" i="124"/>
  <c r="AX32" i="124"/>
  <c r="AX33" i="124"/>
  <c r="AX34" i="124"/>
  <c r="AX35" i="124"/>
  <c r="AX36" i="124"/>
  <c r="AX37" i="124"/>
  <c r="AX38" i="124"/>
  <c r="AX39" i="124"/>
  <c r="AX40" i="124"/>
  <c r="AX41" i="124"/>
  <c r="AX42" i="124"/>
  <c r="AX43" i="124"/>
  <c r="AX44" i="124"/>
  <c r="AX45" i="124"/>
  <c r="AX46" i="124"/>
  <c r="AX47" i="124"/>
  <c r="AX48" i="124"/>
  <c r="AX50" i="124"/>
  <c r="AX51" i="124"/>
  <c r="AX52" i="124"/>
  <c r="AX53" i="124"/>
  <c r="AX54" i="124"/>
  <c r="AX55" i="124"/>
  <c r="AX56" i="124"/>
  <c r="AX57" i="124"/>
  <c r="AX58" i="124"/>
  <c r="AX59" i="124"/>
  <c r="AX60" i="124"/>
  <c r="AX61" i="124"/>
  <c r="AX62" i="124"/>
  <c r="AX63" i="124"/>
  <c r="AX64" i="124"/>
  <c r="AX65" i="124"/>
  <c r="AX66" i="124"/>
  <c r="AX67" i="124"/>
  <c r="AX68" i="124"/>
  <c r="AX69" i="124"/>
  <c r="AX70" i="124"/>
  <c r="AX71" i="124"/>
  <c r="AX72" i="124"/>
  <c r="AX73" i="124"/>
  <c r="AX74" i="124"/>
  <c r="AX75" i="124"/>
  <c r="AX76" i="124"/>
  <c r="AX77" i="124"/>
  <c r="AX78" i="124"/>
  <c r="AX79" i="124"/>
  <c r="AX80" i="124"/>
  <c r="AX81" i="124"/>
  <c r="AX82" i="124"/>
  <c r="AX83" i="124"/>
  <c r="AX84" i="124"/>
  <c r="AX85" i="124"/>
  <c r="AX86" i="124"/>
  <c r="AX87" i="124"/>
  <c r="AX88" i="124"/>
  <c r="AX89" i="124"/>
  <c r="AX90" i="124"/>
  <c r="AX91" i="124"/>
  <c r="AX92" i="124"/>
  <c r="AX93" i="124"/>
  <c r="AX94" i="124"/>
  <c r="AX95" i="124"/>
  <c r="AX96" i="124"/>
  <c r="AX97" i="124"/>
  <c r="AX98" i="124"/>
  <c r="AX99" i="124"/>
  <c r="AX100" i="124"/>
  <c r="AX101" i="124"/>
  <c r="AX102" i="124"/>
  <c r="AX103" i="124"/>
  <c r="AX104" i="124"/>
  <c r="AX105" i="124"/>
  <c r="AX106" i="124"/>
  <c r="AX107" i="124"/>
  <c r="AX108" i="124"/>
  <c r="AX109" i="124"/>
  <c r="AX110" i="124"/>
  <c r="AX111" i="124"/>
  <c r="AX112" i="124"/>
  <c r="AX113" i="124"/>
  <c r="AX114" i="124"/>
  <c r="AX115" i="124"/>
  <c r="AX116" i="124"/>
  <c r="AX117" i="124"/>
  <c r="AX118" i="124"/>
  <c r="AX119" i="124"/>
  <c r="AX120" i="124"/>
  <c r="AX121" i="124"/>
  <c r="AX122" i="124"/>
  <c r="AX123" i="124"/>
  <c r="AX124" i="124"/>
  <c r="AX125" i="124"/>
  <c r="AX126" i="124"/>
  <c r="AX127" i="124"/>
  <c r="AX128" i="124"/>
  <c r="AX129" i="124"/>
  <c r="AX130" i="124"/>
  <c r="AX131" i="124"/>
  <c r="AX132" i="124"/>
  <c r="AX133" i="124"/>
  <c r="AX134" i="124"/>
  <c r="AX135" i="124"/>
  <c r="AX136" i="124"/>
  <c r="AX137" i="124"/>
  <c r="AX138" i="124"/>
  <c r="AX139" i="124"/>
  <c r="AX140" i="124"/>
  <c r="AX141" i="124"/>
  <c r="AX142" i="124"/>
  <c r="AX143" i="124"/>
  <c r="AX144" i="124"/>
  <c r="AX145" i="124"/>
  <c r="AX146" i="124"/>
  <c r="AX147" i="124"/>
  <c r="AX148" i="124"/>
  <c r="AX149" i="124"/>
  <c r="AX150" i="124"/>
  <c r="AX151" i="124"/>
  <c r="AX152" i="124"/>
  <c r="AX153" i="124"/>
  <c r="AX154" i="124"/>
  <c r="AX155" i="124"/>
  <c r="AX156" i="124"/>
  <c r="AX157" i="124"/>
  <c r="AX158" i="124"/>
  <c r="AX159" i="124"/>
  <c r="AX160" i="124"/>
  <c r="AX161" i="124"/>
  <c r="AX162" i="124"/>
  <c r="AX163" i="124"/>
  <c r="AX164" i="124"/>
  <c r="AX165" i="124"/>
  <c r="AX166" i="124"/>
  <c r="AX167" i="124"/>
  <c r="AX168" i="124"/>
  <c r="AX169" i="124"/>
  <c r="AX170" i="124"/>
  <c r="AX171" i="124"/>
  <c r="AX172" i="124"/>
  <c r="AX173" i="124"/>
  <c r="AX174" i="124"/>
  <c r="AX175" i="124"/>
  <c r="AX176" i="124"/>
  <c r="AX177" i="124"/>
  <c r="AX178" i="124"/>
  <c r="AX179" i="124"/>
  <c r="AX180" i="124"/>
  <c r="AX181" i="124"/>
  <c r="AX182" i="124"/>
  <c r="AX183" i="124"/>
  <c r="AX184" i="124"/>
  <c r="AX185" i="124"/>
  <c r="AX186" i="124"/>
  <c r="AX187" i="124"/>
  <c r="AX188" i="124"/>
  <c r="AX189" i="124"/>
  <c r="AX190" i="124"/>
  <c r="AX191" i="124"/>
  <c r="AX192" i="124"/>
  <c r="AX193" i="124"/>
  <c r="AX194" i="124"/>
  <c r="AX195" i="124"/>
  <c r="AX196" i="124"/>
  <c r="AX198" i="124"/>
  <c r="AX199" i="124"/>
  <c r="AX200" i="124"/>
  <c r="AX201" i="124"/>
  <c r="AX203" i="124"/>
  <c r="AX204" i="124"/>
  <c r="AX205" i="124"/>
  <c r="AX206" i="124"/>
  <c r="AX207" i="124"/>
  <c r="AX208" i="124"/>
  <c r="AX209" i="124"/>
  <c r="AX210" i="124"/>
  <c r="AX211" i="124"/>
  <c r="AX212" i="124"/>
  <c r="AX213" i="124"/>
  <c r="AX214" i="124"/>
  <c r="AX215" i="124"/>
  <c r="AX216" i="124"/>
  <c r="AX217" i="124"/>
  <c r="AX218" i="124"/>
  <c r="AX219" i="124"/>
  <c r="AX220" i="124"/>
  <c r="AX221" i="124"/>
  <c r="AX222" i="124"/>
  <c r="AX223" i="124"/>
  <c r="AX224" i="124"/>
  <c r="AX225" i="124"/>
  <c r="AX226" i="124"/>
  <c r="AX227" i="124"/>
  <c r="AX228" i="124"/>
  <c r="AX229" i="124"/>
  <c r="AX230" i="124"/>
  <c r="AX231" i="124"/>
  <c r="AX232" i="124"/>
  <c r="AX233" i="124"/>
  <c r="AX234" i="124"/>
  <c r="AX235" i="124"/>
  <c r="AX236" i="124"/>
  <c r="AX237" i="124"/>
  <c r="AX238" i="124"/>
  <c r="AX239" i="124"/>
  <c r="AX240" i="124"/>
  <c r="AX241" i="124"/>
  <c r="AX242" i="124"/>
  <c r="AX243" i="124"/>
  <c r="AX244" i="124"/>
  <c r="AX245" i="124"/>
  <c r="AX246" i="124"/>
  <c r="AX247" i="124"/>
  <c r="AX248" i="124"/>
  <c r="AX249" i="124"/>
  <c r="AX250" i="124"/>
  <c r="AX251" i="124"/>
  <c r="AX8" i="124"/>
  <c r="D63" i="112"/>
  <c r="L38" i="106"/>
  <c r="B71" i="173"/>
  <c r="F5" i="173"/>
  <c r="F6" i="173" s="1"/>
  <c r="C46" i="173" s="1"/>
  <c r="J46" i="173" s="1"/>
  <c r="G5" i="173"/>
  <c r="G6" i="173" s="1"/>
  <c r="H5" i="173"/>
  <c r="H6" i="173"/>
  <c r="I5" i="173"/>
  <c r="I6" i="173" s="1"/>
  <c r="J5" i="173"/>
  <c r="J6" i="173" s="1"/>
  <c r="K5" i="173"/>
  <c r="K6" i="173" s="1"/>
  <c r="L5" i="173"/>
  <c r="L6" i="173" s="1"/>
  <c r="E5" i="173"/>
  <c r="E51" i="173" s="1"/>
  <c r="L70" i="173"/>
  <c r="L69" i="173"/>
  <c r="L68" i="173"/>
  <c r="L67" i="173"/>
  <c r="K66" i="173"/>
  <c r="K71" i="173" s="1"/>
  <c r="J66" i="173"/>
  <c r="I66" i="173"/>
  <c r="H66" i="173"/>
  <c r="G66" i="173"/>
  <c r="G71" i="173" s="1"/>
  <c r="F66" i="173"/>
  <c r="E66" i="173"/>
  <c r="E71" i="173" s="1"/>
  <c r="K65" i="173"/>
  <c r="J65" i="173"/>
  <c r="I65" i="173"/>
  <c r="H65" i="173"/>
  <c r="H71" i="173" s="1"/>
  <c r="G65" i="173"/>
  <c r="F65" i="173"/>
  <c r="E65" i="173"/>
  <c r="L64" i="173"/>
  <c r="L63" i="173"/>
  <c r="L62" i="173"/>
  <c r="L61" i="173"/>
  <c r="L60" i="173"/>
  <c r="L59" i="173"/>
  <c r="L58" i="173"/>
  <c r="L57" i="173"/>
  <c r="L56" i="173"/>
  <c r="C37" i="173"/>
  <c r="C34" i="173"/>
  <c r="C31" i="173"/>
  <c r="C28" i="173"/>
  <c r="C25" i="173"/>
  <c r="C18" i="173"/>
  <c r="A18" i="173"/>
  <c r="J18" i="173" s="1"/>
  <c r="C15" i="173"/>
  <c r="A15" i="173"/>
  <c r="C12" i="173"/>
  <c r="H12" i="173" s="1"/>
  <c r="G9" i="173"/>
  <c r="F9" i="173"/>
  <c r="AX18" i="124"/>
  <c r="AX19" i="124"/>
  <c r="AX20" i="124"/>
  <c r="S7" i="124"/>
  <c r="T6" i="124"/>
  <c r="U6" i="124" s="1"/>
  <c r="F9" i="168"/>
  <c r="G9" i="168" s="1"/>
  <c r="F10" i="168"/>
  <c r="G10" i="168" s="1"/>
  <c r="F11" i="168"/>
  <c r="G11" i="168" s="1"/>
  <c r="F12" i="168"/>
  <c r="G12" i="168" s="1"/>
  <c r="F13" i="168"/>
  <c r="G13" i="168" s="1"/>
  <c r="F14" i="168"/>
  <c r="G14" i="168" s="1"/>
  <c r="F15" i="168"/>
  <c r="G15" i="168" s="1"/>
  <c r="F16" i="168"/>
  <c r="G16" i="168" s="1"/>
  <c r="F17" i="168"/>
  <c r="G17" i="168" s="1"/>
  <c r="F18" i="168"/>
  <c r="G18" i="168" s="1"/>
  <c r="F19" i="168"/>
  <c r="G19" i="168" s="1"/>
  <c r="F20" i="168"/>
  <c r="G20" i="168" s="1"/>
  <c r="F21" i="168"/>
  <c r="G21" i="168" s="1"/>
  <c r="F22" i="168"/>
  <c r="G22" i="168" s="1"/>
  <c r="F23" i="168"/>
  <c r="G23" i="168" s="1"/>
  <c r="F24" i="168"/>
  <c r="G24" i="168" s="1"/>
  <c r="F25" i="168"/>
  <c r="G25" i="168" s="1"/>
  <c r="F26" i="168"/>
  <c r="G26" i="168" s="1"/>
  <c r="F27" i="168"/>
  <c r="G27" i="168" s="1"/>
  <c r="F28" i="168"/>
  <c r="G28" i="168" s="1"/>
  <c r="F29" i="168"/>
  <c r="G29" i="168" s="1"/>
  <c r="F30" i="168"/>
  <c r="G30" i="168" s="1"/>
  <c r="F31" i="168"/>
  <c r="G31" i="168" s="1"/>
  <c r="F32" i="168"/>
  <c r="G32" i="168" s="1"/>
  <c r="F33" i="168"/>
  <c r="G33" i="168" s="1"/>
  <c r="F34" i="168"/>
  <c r="G34" i="168" s="1"/>
  <c r="F35" i="168"/>
  <c r="G35" i="168" s="1"/>
  <c r="F36" i="168"/>
  <c r="G36" i="168" s="1"/>
  <c r="F37" i="168"/>
  <c r="G37" i="168" s="1"/>
  <c r="F38" i="168"/>
  <c r="G38" i="168" s="1"/>
  <c r="F39" i="168"/>
  <c r="G39" i="168" s="1"/>
  <c r="F40" i="168"/>
  <c r="G40" i="168" s="1"/>
  <c r="F41" i="168"/>
  <c r="G41" i="168" s="1"/>
  <c r="F42" i="168"/>
  <c r="G42" i="168" s="1"/>
  <c r="F43" i="168"/>
  <c r="G43" i="168" s="1"/>
  <c r="F44" i="168"/>
  <c r="G44" i="168" s="1"/>
  <c r="F45" i="168"/>
  <c r="G45" i="168" s="1"/>
  <c r="F46" i="168"/>
  <c r="G46" i="168" s="1"/>
  <c r="F47" i="168"/>
  <c r="G47" i="168" s="1"/>
  <c r="F48" i="168"/>
  <c r="G48" i="168" s="1"/>
  <c r="F49" i="168"/>
  <c r="G49" i="168" s="1"/>
  <c r="F50" i="168"/>
  <c r="G50" i="168" s="1"/>
  <c r="F51" i="168"/>
  <c r="G51" i="168" s="1"/>
  <c r="F52" i="168"/>
  <c r="G52" i="168" s="1"/>
  <c r="F53" i="168"/>
  <c r="G53" i="168" s="1"/>
  <c r="F54" i="168"/>
  <c r="G54" i="168" s="1"/>
  <c r="F55" i="168"/>
  <c r="G55" i="168" s="1"/>
  <c r="F56" i="168"/>
  <c r="G56" i="168" s="1"/>
  <c r="F57" i="168"/>
  <c r="G57" i="168" s="1"/>
  <c r="F58" i="168"/>
  <c r="G58" i="168" s="1"/>
  <c r="F59" i="168"/>
  <c r="G59" i="168" s="1"/>
  <c r="F60" i="168"/>
  <c r="G60" i="168" s="1"/>
  <c r="F61" i="168"/>
  <c r="G61" i="168" s="1"/>
  <c r="F62" i="168"/>
  <c r="G62" i="168" s="1"/>
  <c r="F63" i="168"/>
  <c r="G63" i="168" s="1"/>
  <c r="F64" i="168"/>
  <c r="G64" i="168" s="1"/>
  <c r="F65" i="168"/>
  <c r="G65" i="168" s="1"/>
  <c r="F66" i="168"/>
  <c r="G66" i="168" s="1"/>
  <c r="F67" i="168"/>
  <c r="G67" i="168" s="1"/>
  <c r="F68" i="168"/>
  <c r="G68" i="168" s="1"/>
  <c r="F69" i="168"/>
  <c r="G69" i="168" s="1"/>
  <c r="F70" i="168"/>
  <c r="G70" i="168" s="1"/>
  <c r="F71" i="168"/>
  <c r="G71" i="168" s="1"/>
  <c r="F72" i="168"/>
  <c r="G72" i="168" s="1"/>
  <c r="F73" i="168"/>
  <c r="G73" i="168" s="1"/>
  <c r="F74" i="168"/>
  <c r="G74" i="168" s="1"/>
  <c r="F75" i="168"/>
  <c r="G75" i="168" s="1"/>
  <c r="F76" i="168"/>
  <c r="G76" i="168" s="1"/>
  <c r="F8" i="168"/>
  <c r="G8" i="168" s="1"/>
  <c r="F8" i="172"/>
  <c r="G8" i="172" s="1"/>
  <c r="H9" i="172"/>
  <c r="H10" i="172"/>
  <c r="H11" i="172"/>
  <c r="H12" i="172"/>
  <c r="H13" i="172"/>
  <c r="H14" i="172"/>
  <c r="H15" i="172"/>
  <c r="H16" i="172"/>
  <c r="H17" i="172"/>
  <c r="H18" i="172"/>
  <c r="H19" i="172"/>
  <c r="H20" i="172"/>
  <c r="H21" i="172"/>
  <c r="H22" i="172"/>
  <c r="H23" i="172"/>
  <c r="H24" i="172"/>
  <c r="H25" i="172"/>
  <c r="H26" i="172"/>
  <c r="H27" i="172"/>
  <c r="H28" i="172"/>
  <c r="H29" i="172"/>
  <c r="H30" i="172"/>
  <c r="H31" i="172"/>
  <c r="H32" i="172"/>
  <c r="H33" i="172"/>
  <c r="H34" i="172"/>
  <c r="H35" i="172"/>
  <c r="H36" i="172"/>
  <c r="H37" i="172"/>
  <c r="H38" i="172"/>
  <c r="H39" i="172"/>
  <c r="H40" i="172"/>
  <c r="H41" i="172"/>
  <c r="H42" i="172"/>
  <c r="H43" i="172"/>
  <c r="H44" i="172"/>
  <c r="H45" i="172"/>
  <c r="H46" i="172"/>
  <c r="H47" i="172"/>
  <c r="H48" i="172"/>
  <c r="H8" i="172"/>
  <c r="B8" i="172"/>
  <c r="C8" i="172"/>
  <c r="D8" i="172"/>
  <c r="E8" i="172"/>
  <c r="A8" i="172"/>
  <c r="R8" i="172" s="1"/>
  <c r="Q2" i="172"/>
  <c r="J2" i="172"/>
  <c r="B2" i="172"/>
  <c r="H9" i="168"/>
  <c r="H10" i="168"/>
  <c r="H11" i="168"/>
  <c r="H12" i="168"/>
  <c r="H13" i="168"/>
  <c r="H14" i="168"/>
  <c r="H15" i="168"/>
  <c r="H16" i="168"/>
  <c r="H17" i="168"/>
  <c r="H18" i="168"/>
  <c r="H19" i="168"/>
  <c r="H20" i="168"/>
  <c r="H21" i="168"/>
  <c r="H22" i="168"/>
  <c r="H23" i="168"/>
  <c r="H24" i="168"/>
  <c r="H25" i="168"/>
  <c r="H26" i="168"/>
  <c r="H27" i="168"/>
  <c r="H28" i="168"/>
  <c r="H29" i="168"/>
  <c r="H30" i="168"/>
  <c r="H31" i="168"/>
  <c r="H32" i="168"/>
  <c r="H33" i="168"/>
  <c r="H34" i="168"/>
  <c r="H35" i="168"/>
  <c r="H36" i="168"/>
  <c r="H37" i="168"/>
  <c r="H38" i="168"/>
  <c r="H39" i="168"/>
  <c r="H40" i="168"/>
  <c r="H41" i="168"/>
  <c r="H42" i="168"/>
  <c r="H43" i="168"/>
  <c r="H44" i="168"/>
  <c r="H45" i="168"/>
  <c r="H46" i="168"/>
  <c r="H47" i="168"/>
  <c r="H48" i="168"/>
  <c r="H49" i="168"/>
  <c r="H50" i="168"/>
  <c r="H51" i="168"/>
  <c r="H52" i="168"/>
  <c r="H53" i="168"/>
  <c r="H54" i="168"/>
  <c r="H55" i="168"/>
  <c r="H56" i="168"/>
  <c r="H57" i="168"/>
  <c r="H58" i="168"/>
  <c r="H59" i="168"/>
  <c r="H60" i="168"/>
  <c r="H61" i="168"/>
  <c r="H62" i="168"/>
  <c r="H63" i="168"/>
  <c r="H64" i="168"/>
  <c r="H65" i="168"/>
  <c r="H66" i="168"/>
  <c r="H67" i="168"/>
  <c r="H68" i="168"/>
  <c r="H69" i="168"/>
  <c r="H70" i="168"/>
  <c r="H71" i="168"/>
  <c r="H72" i="168"/>
  <c r="H73" i="168"/>
  <c r="H74" i="168"/>
  <c r="H75" i="168"/>
  <c r="H76" i="168"/>
  <c r="H8" i="168"/>
  <c r="A58" i="168"/>
  <c r="B58" i="168"/>
  <c r="D58" i="168"/>
  <c r="E58" i="168"/>
  <c r="A59" i="168"/>
  <c r="B59" i="168"/>
  <c r="D59" i="168"/>
  <c r="E59" i="168"/>
  <c r="A60" i="168"/>
  <c r="B60" i="168"/>
  <c r="D60" i="168"/>
  <c r="E60" i="168"/>
  <c r="A61" i="168"/>
  <c r="B61" i="168"/>
  <c r="D61" i="168"/>
  <c r="E61" i="168"/>
  <c r="A62" i="168"/>
  <c r="B62" i="168"/>
  <c r="D62" i="168"/>
  <c r="E62" i="168"/>
  <c r="A63" i="168"/>
  <c r="B63" i="168"/>
  <c r="D63" i="168"/>
  <c r="E63" i="168"/>
  <c r="A64" i="168"/>
  <c r="B64" i="168"/>
  <c r="D64" i="168"/>
  <c r="E64" i="168"/>
  <c r="A65" i="168"/>
  <c r="B65" i="168"/>
  <c r="D65" i="168"/>
  <c r="E65" i="168"/>
  <c r="A66" i="168"/>
  <c r="B66" i="168"/>
  <c r="D66" i="168"/>
  <c r="E66" i="168"/>
  <c r="A67" i="168"/>
  <c r="B67" i="168"/>
  <c r="D67" i="168"/>
  <c r="E67" i="168"/>
  <c r="A68" i="168"/>
  <c r="B68" i="168"/>
  <c r="D68" i="168"/>
  <c r="E68" i="168"/>
  <c r="A69" i="168"/>
  <c r="B69" i="168"/>
  <c r="D69" i="168"/>
  <c r="E69" i="168"/>
  <c r="A70" i="168"/>
  <c r="B70" i="168"/>
  <c r="D70" i="168"/>
  <c r="E70" i="168"/>
  <c r="A71" i="168"/>
  <c r="B71" i="168"/>
  <c r="D71" i="168"/>
  <c r="E71" i="168"/>
  <c r="A72" i="168"/>
  <c r="B72" i="168"/>
  <c r="D72" i="168"/>
  <c r="E72" i="168"/>
  <c r="A73" i="168"/>
  <c r="B73" i="168"/>
  <c r="D73" i="168"/>
  <c r="E73" i="168"/>
  <c r="A74" i="168"/>
  <c r="B74" i="168"/>
  <c r="D74" i="168"/>
  <c r="E74" i="168"/>
  <c r="A75" i="168"/>
  <c r="B75" i="168"/>
  <c r="D75" i="168"/>
  <c r="E75" i="168"/>
  <c r="A76" i="168"/>
  <c r="B76" i="168"/>
  <c r="D76" i="168"/>
  <c r="E76" i="168"/>
  <c r="J67" i="168"/>
  <c r="J66" i="168"/>
  <c r="J65" i="168"/>
  <c r="J64" i="168"/>
  <c r="J63" i="168"/>
  <c r="J62" i="168"/>
  <c r="J61" i="168"/>
  <c r="J60" i="168"/>
  <c r="J59" i="168"/>
  <c r="J58" i="168"/>
  <c r="A42" i="168"/>
  <c r="B42" i="168"/>
  <c r="D42" i="168"/>
  <c r="E42" i="168"/>
  <c r="A43" i="168"/>
  <c r="B43" i="168"/>
  <c r="D43" i="168"/>
  <c r="E43" i="168"/>
  <c r="A44" i="168"/>
  <c r="B44" i="168"/>
  <c r="D44" i="168"/>
  <c r="E44" i="168"/>
  <c r="A45" i="168"/>
  <c r="B45" i="168"/>
  <c r="D45" i="168"/>
  <c r="E45" i="168"/>
  <c r="A46" i="168"/>
  <c r="B46" i="168"/>
  <c r="D46" i="168"/>
  <c r="E46" i="168"/>
  <c r="A47" i="168"/>
  <c r="B47" i="168"/>
  <c r="D47" i="168"/>
  <c r="E47" i="168"/>
  <c r="A48" i="168"/>
  <c r="B48" i="168"/>
  <c r="D48" i="168"/>
  <c r="E48" i="168"/>
  <c r="A49" i="168"/>
  <c r="B49" i="168"/>
  <c r="D49" i="168"/>
  <c r="E49" i="168"/>
  <c r="A50" i="168"/>
  <c r="B50" i="168"/>
  <c r="D50" i="168"/>
  <c r="E50" i="168"/>
  <c r="A51" i="168"/>
  <c r="B51" i="168"/>
  <c r="D51" i="168"/>
  <c r="E51" i="168"/>
  <c r="A52" i="168"/>
  <c r="B52" i="168"/>
  <c r="D52" i="168"/>
  <c r="E52" i="168"/>
  <c r="A53" i="168"/>
  <c r="B53" i="168"/>
  <c r="D53" i="168"/>
  <c r="E53" i="168"/>
  <c r="A54" i="168"/>
  <c r="B54" i="168"/>
  <c r="D54" i="168"/>
  <c r="E54" i="168"/>
  <c r="A55" i="168"/>
  <c r="B55" i="168"/>
  <c r="D55" i="168"/>
  <c r="E55" i="168"/>
  <c r="A56" i="168"/>
  <c r="B56" i="168"/>
  <c r="D56" i="168"/>
  <c r="E56" i="168"/>
  <c r="A57" i="168"/>
  <c r="B57" i="168"/>
  <c r="D57" i="168"/>
  <c r="E57" i="168"/>
  <c r="J54" i="168"/>
  <c r="J53" i="168"/>
  <c r="J52" i="168"/>
  <c r="J51" i="168"/>
  <c r="J50" i="168"/>
  <c r="J49" i="168"/>
  <c r="J48" i="168"/>
  <c r="J47" i="168"/>
  <c r="J46" i="168"/>
  <c r="J45" i="168"/>
  <c r="J44" i="168"/>
  <c r="J43" i="168"/>
  <c r="J42" i="168"/>
  <c r="A9" i="168"/>
  <c r="B9" i="168"/>
  <c r="D9" i="168"/>
  <c r="E9" i="168"/>
  <c r="A10" i="168"/>
  <c r="B10" i="168"/>
  <c r="D10" i="168"/>
  <c r="E10" i="168"/>
  <c r="A11" i="168"/>
  <c r="B11" i="168"/>
  <c r="D11" i="168"/>
  <c r="E11" i="168"/>
  <c r="A12" i="168"/>
  <c r="B12" i="168"/>
  <c r="D12" i="168"/>
  <c r="E12" i="168"/>
  <c r="A13" i="168"/>
  <c r="B13" i="168"/>
  <c r="D13" i="168"/>
  <c r="E13" i="168"/>
  <c r="A14" i="168"/>
  <c r="B14" i="168"/>
  <c r="D14" i="168"/>
  <c r="E14" i="168"/>
  <c r="A15" i="168"/>
  <c r="B15" i="168"/>
  <c r="D15" i="168"/>
  <c r="E15" i="168"/>
  <c r="A16" i="168"/>
  <c r="B16" i="168"/>
  <c r="D16" i="168"/>
  <c r="E16" i="168"/>
  <c r="A17" i="168"/>
  <c r="B17" i="168"/>
  <c r="D17" i="168"/>
  <c r="E17" i="168"/>
  <c r="A18" i="168"/>
  <c r="B18" i="168"/>
  <c r="D18" i="168"/>
  <c r="E18" i="168"/>
  <c r="A19" i="168"/>
  <c r="B19" i="168"/>
  <c r="D19" i="168"/>
  <c r="E19" i="168"/>
  <c r="A20" i="168"/>
  <c r="B20" i="168"/>
  <c r="D20" i="168"/>
  <c r="E20" i="168"/>
  <c r="A21" i="168"/>
  <c r="B21" i="168"/>
  <c r="D21" i="168"/>
  <c r="E21" i="168"/>
  <c r="A22" i="168"/>
  <c r="B22" i="168"/>
  <c r="D22" i="168"/>
  <c r="E22" i="168"/>
  <c r="A23" i="168"/>
  <c r="B23" i="168"/>
  <c r="D23" i="168"/>
  <c r="E23" i="168"/>
  <c r="A24" i="168"/>
  <c r="B24" i="168"/>
  <c r="D24" i="168"/>
  <c r="E24" i="168"/>
  <c r="A25" i="168"/>
  <c r="B25" i="168"/>
  <c r="D25" i="168"/>
  <c r="E25" i="168"/>
  <c r="A26" i="168"/>
  <c r="B26" i="168"/>
  <c r="D26" i="168"/>
  <c r="E26" i="168"/>
  <c r="A27" i="168"/>
  <c r="B27" i="168"/>
  <c r="D27" i="168"/>
  <c r="E27" i="168"/>
  <c r="A28" i="168"/>
  <c r="B28" i="168"/>
  <c r="D28" i="168"/>
  <c r="E28" i="168"/>
  <c r="A29" i="168"/>
  <c r="B29" i="168"/>
  <c r="D29" i="168"/>
  <c r="E29" i="168"/>
  <c r="A30" i="168"/>
  <c r="B30" i="168"/>
  <c r="D30" i="168"/>
  <c r="E30" i="168"/>
  <c r="A31" i="168"/>
  <c r="B31" i="168"/>
  <c r="D31" i="168"/>
  <c r="E31" i="168"/>
  <c r="A32" i="168"/>
  <c r="B32" i="168"/>
  <c r="D32" i="168"/>
  <c r="E32" i="168"/>
  <c r="A33" i="168"/>
  <c r="B33" i="168"/>
  <c r="D33" i="168"/>
  <c r="E33" i="168"/>
  <c r="A34" i="168"/>
  <c r="B34" i="168"/>
  <c r="D34" i="168"/>
  <c r="E34" i="168"/>
  <c r="A35" i="168"/>
  <c r="B35" i="168"/>
  <c r="D35" i="168"/>
  <c r="E35" i="168"/>
  <c r="A36" i="168"/>
  <c r="B36" i="168"/>
  <c r="D36" i="168"/>
  <c r="E36" i="168"/>
  <c r="A37" i="168"/>
  <c r="B37" i="168"/>
  <c r="D37" i="168"/>
  <c r="E37" i="168"/>
  <c r="A38" i="168"/>
  <c r="B38" i="168"/>
  <c r="D38" i="168"/>
  <c r="E38" i="168"/>
  <c r="A39" i="168"/>
  <c r="B39" i="168"/>
  <c r="D39" i="168"/>
  <c r="E39" i="168"/>
  <c r="A40" i="168"/>
  <c r="B40" i="168"/>
  <c r="D40" i="168"/>
  <c r="E40" i="168"/>
  <c r="A41" i="168"/>
  <c r="B41" i="168"/>
  <c r="D41" i="168"/>
  <c r="E41" i="168"/>
  <c r="B8" i="168"/>
  <c r="D8" i="168"/>
  <c r="E8" i="168"/>
  <c r="A8" i="168"/>
  <c r="J76" i="168"/>
  <c r="J75" i="168"/>
  <c r="J74" i="168"/>
  <c r="J73" i="168"/>
  <c r="J72" i="168"/>
  <c r="J71" i="168"/>
  <c r="J70" i="168"/>
  <c r="J69" i="168"/>
  <c r="J68" i="168"/>
  <c r="J57" i="168"/>
  <c r="J56" i="168"/>
  <c r="J55" i="168"/>
  <c r="J41" i="168"/>
  <c r="J40" i="168"/>
  <c r="J39" i="168"/>
  <c r="J38" i="168"/>
  <c r="J37" i="168"/>
  <c r="J36" i="168"/>
  <c r="J35" i="168"/>
  <c r="J34" i="168"/>
  <c r="J33" i="168"/>
  <c r="J32" i="168"/>
  <c r="J31" i="168"/>
  <c r="J30" i="168"/>
  <c r="J29" i="168"/>
  <c r="J28" i="168"/>
  <c r="J27" i="168"/>
  <c r="J26" i="168"/>
  <c r="J25" i="168"/>
  <c r="J24" i="168"/>
  <c r="J23" i="168"/>
  <c r="J22" i="168"/>
  <c r="J21" i="168"/>
  <c r="J20" i="168"/>
  <c r="J19" i="168"/>
  <c r="J18" i="168"/>
  <c r="J17" i="168"/>
  <c r="J16" i="168"/>
  <c r="J15" i="168"/>
  <c r="J14" i="168"/>
  <c r="J13" i="168"/>
  <c r="J12" i="168"/>
  <c r="J11" i="168"/>
  <c r="J10" i="168"/>
  <c r="J9" i="168"/>
  <c r="J8" i="168"/>
  <c r="Q2" i="168"/>
  <c r="J2" i="168"/>
  <c r="B2" i="168"/>
  <c r="C7" i="157"/>
  <c r="C8" i="157"/>
  <c r="C9" i="157"/>
  <c r="C10" i="157"/>
  <c r="C11" i="157"/>
  <c r="C12" i="157"/>
  <c r="C13" i="157"/>
  <c r="C14" i="157"/>
  <c r="C15" i="157"/>
  <c r="C17" i="157"/>
  <c r="C18" i="157"/>
  <c r="C20" i="157"/>
  <c r="C21" i="157"/>
  <c r="C22" i="157"/>
  <c r="C23" i="157"/>
  <c r="C6" i="157"/>
  <c r="N77" i="158"/>
  <c r="F76" i="158"/>
  <c r="F75" i="158"/>
  <c r="N74" i="158"/>
  <c r="F74" i="158"/>
  <c r="N63" i="158"/>
  <c r="I63" i="158"/>
  <c r="D63" i="158"/>
  <c r="I47" i="158"/>
  <c r="N47" i="158"/>
  <c r="N19" i="158"/>
  <c r="N29" i="158" s="1"/>
  <c r="I19" i="158"/>
  <c r="I29" i="158" s="1"/>
  <c r="D19" i="158"/>
  <c r="D27" i="158" s="1"/>
  <c r="E24" i="157"/>
  <c r="E23" i="157"/>
  <c r="E22" i="157"/>
  <c r="E21" i="157"/>
  <c r="E20" i="157"/>
  <c r="E18" i="157"/>
  <c r="E17" i="157"/>
  <c r="E15" i="157"/>
  <c r="E14" i="157"/>
  <c r="E13" i="157"/>
  <c r="E12" i="157"/>
  <c r="E11" i="157"/>
  <c r="E10" i="157"/>
  <c r="E9" i="157"/>
  <c r="E8" i="157"/>
  <c r="E7" i="157"/>
  <c r="E6" i="157"/>
  <c r="F1" i="157"/>
  <c r="B1" i="157"/>
  <c r="F1" i="156"/>
  <c r="B1" i="156"/>
  <c r="D47" i="158"/>
  <c r="K239" i="125"/>
  <c r="H239" i="125"/>
  <c r="K238" i="125"/>
  <c r="H238" i="125"/>
  <c r="K237" i="125"/>
  <c r="H237" i="125"/>
  <c r="K236" i="125"/>
  <c r="H236" i="125"/>
  <c r="K235" i="125"/>
  <c r="H235" i="125"/>
  <c r="K234" i="125"/>
  <c r="H234" i="125"/>
  <c r="K233" i="125"/>
  <c r="H233" i="125"/>
  <c r="K232" i="125"/>
  <c r="H232" i="125"/>
  <c r="K231" i="125"/>
  <c r="H231" i="125"/>
  <c r="K230" i="125"/>
  <c r="H230" i="125"/>
  <c r="K229" i="125"/>
  <c r="H229" i="125"/>
  <c r="K228" i="125"/>
  <c r="H228" i="125"/>
  <c r="K218" i="125"/>
  <c r="H218" i="125"/>
  <c r="K217" i="125"/>
  <c r="H217" i="125"/>
  <c r="K216" i="125"/>
  <c r="H216" i="125"/>
  <c r="K215" i="125"/>
  <c r="H215" i="125"/>
  <c r="K214" i="125"/>
  <c r="H214" i="125"/>
  <c r="K213" i="125"/>
  <c r="H213" i="125"/>
  <c r="K212" i="125"/>
  <c r="H212" i="125"/>
  <c r="K211" i="125"/>
  <c r="H211" i="125"/>
  <c r="K210" i="125"/>
  <c r="H210" i="125"/>
  <c r="K209" i="125"/>
  <c r="H209" i="125"/>
  <c r="K208" i="125"/>
  <c r="H208" i="125"/>
  <c r="K207" i="125"/>
  <c r="H207" i="125"/>
  <c r="K241" i="125"/>
  <c r="H241" i="125"/>
  <c r="K240" i="125"/>
  <c r="H240" i="125"/>
  <c r="K227" i="125"/>
  <c r="H227" i="125"/>
  <c r="K226" i="125"/>
  <c r="H226" i="125"/>
  <c r="K225" i="125"/>
  <c r="H225" i="125"/>
  <c r="K224" i="125"/>
  <c r="H224" i="125"/>
  <c r="K223" i="125"/>
  <c r="H223" i="125"/>
  <c r="K222" i="125"/>
  <c r="H222" i="125"/>
  <c r="K221" i="125"/>
  <c r="H221" i="125"/>
  <c r="K220" i="125"/>
  <c r="H220" i="125"/>
  <c r="K219" i="125"/>
  <c r="H219" i="125"/>
  <c r="K8" i="125"/>
  <c r="H8" i="125"/>
  <c r="D8" i="125"/>
  <c r="C8" i="125"/>
  <c r="B8" i="125"/>
  <c r="A8" i="125"/>
  <c r="K9" i="125"/>
  <c r="H9" i="125"/>
  <c r="K10" i="125"/>
  <c r="H10" i="125"/>
  <c r="K11" i="125"/>
  <c r="H11" i="125"/>
  <c r="D19" i="112"/>
  <c r="D27" i="112" s="1"/>
  <c r="I16" i="40"/>
  <c r="J40" i="2"/>
  <c r="J39" i="2"/>
  <c r="J38" i="2"/>
  <c r="K9" i="134"/>
  <c r="K15" i="134"/>
  <c r="K16" i="134"/>
  <c r="K17" i="134"/>
  <c r="K18" i="134"/>
  <c r="K19" i="134"/>
  <c r="K20" i="134"/>
  <c r="K21" i="134"/>
  <c r="K22" i="134"/>
  <c r="K23" i="134"/>
  <c r="K24" i="134"/>
  <c r="K25" i="134"/>
  <c r="K26" i="134"/>
  <c r="K27" i="134"/>
  <c r="K28" i="134"/>
  <c r="K29" i="134"/>
  <c r="K30" i="134"/>
  <c r="K31" i="134"/>
  <c r="K32" i="134"/>
  <c r="K33" i="134"/>
  <c r="K34" i="134"/>
  <c r="K35" i="134"/>
  <c r="K36" i="134"/>
  <c r="K38" i="134"/>
  <c r="K39" i="134"/>
  <c r="K40" i="134"/>
  <c r="K41" i="134"/>
  <c r="K42" i="134"/>
  <c r="K43" i="134"/>
  <c r="K44" i="134"/>
  <c r="K45" i="134"/>
  <c r="K46" i="134"/>
  <c r="K47" i="134"/>
  <c r="K48" i="134"/>
  <c r="K49" i="134"/>
  <c r="K50" i="134"/>
  <c r="K51" i="134"/>
  <c r="K52" i="134"/>
  <c r="K53" i="134"/>
  <c r="K54" i="134"/>
  <c r="K55" i="134"/>
  <c r="K56" i="134"/>
  <c r="K57" i="134"/>
  <c r="K58" i="134"/>
  <c r="K59" i="134"/>
  <c r="K60" i="134"/>
  <c r="K61" i="134"/>
  <c r="K62" i="134"/>
  <c r="K63" i="134"/>
  <c r="K64" i="134"/>
  <c r="K65" i="134"/>
  <c r="K66" i="134"/>
  <c r="K67" i="134"/>
  <c r="K68" i="134"/>
  <c r="K70" i="134"/>
  <c r="K71" i="134"/>
  <c r="K73" i="134"/>
  <c r="K74" i="134"/>
  <c r="K75" i="134"/>
  <c r="K76" i="134"/>
  <c r="K8" i="134"/>
  <c r="K12" i="125"/>
  <c r="K13" i="125"/>
  <c r="K14" i="125"/>
  <c r="K15" i="125"/>
  <c r="K16" i="125"/>
  <c r="K17" i="125"/>
  <c r="K18" i="125"/>
  <c r="K19" i="125"/>
  <c r="K20" i="125"/>
  <c r="K21" i="125"/>
  <c r="K22" i="125"/>
  <c r="K23" i="125"/>
  <c r="K24" i="125"/>
  <c r="K25" i="125"/>
  <c r="K26" i="125"/>
  <c r="K27" i="125"/>
  <c r="K28" i="125"/>
  <c r="K29" i="125"/>
  <c r="K30" i="125"/>
  <c r="K31" i="125"/>
  <c r="K32" i="125"/>
  <c r="K33" i="125"/>
  <c r="K34" i="125"/>
  <c r="K35" i="125"/>
  <c r="K36" i="125"/>
  <c r="K37" i="125"/>
  <c r="K38" i="125"/>
  <c r="K39" i="125"/>
  <c r="K40" i="125"/>
  <c r="K41" i="125"/>
  <c r="K42" i="125"/>
  <c r="K43" i="125"/>
  <c r="K44" i="125"/>
  <c r="K45" i="125"/>
  <c r="K46" i="125"/>
  <c r="K47" i="125"/>
  <c r="K48" i="125"/>
  <c r="K49" i="125"/>
  <c r="K50" i="125"/>
  <c r="K51" i="125"/>
  <c r="K52" i="125"/>
  <c r="K53" i="125"/>
  <c r="K54" i="125"/>
  <c r="K55" i="125"/>
  <c r="K56" i="125"/>
  <c r="K57" i="125"/>
  <c r="K58" i="125"/>
  <c r="K59" i="125"/>
  <c r="K60" i="125"/>
  <c r="K61" i="125"/>
  <c r="K62" i="125"/>
  <c r="K63" i="125"/>
  <c r="K64" i="125"/>
  <c r="K65" i="125"/>
  <c r="K66" i="125"/>
  <c r="K67" i="125"/>
  <c r="K68" i="125"/>
  <c r="K69" i="125"/>
  <c r="K70" i="125"/>
  <c r="K71" i="125"/>
  <c r="K72" i="125"/>
  <c r="K73" i="125"/>
  <c r="K74" i="125"/>
  <c r="K75" i="125"/>
  <c r="K76" i="125"/>
  <c r="K77" i="125"/>
  <c r="K78" i="125"/>
  <c r="K79" i="125"/>
  <c r="K80" i="125"/>
  <c r="K81" i="125"/>
  <c r="K82" i="125"/>
  <c r="K83" i="125"/>
  <c r="K84" i="125"/>
  <c r="K85" i="125"/>
  <c r="K86" i="125"/>
  <c r="K87" i="125"/>
  <c r="K88" i="125"/>
  <c r="K89" i="125"/>
  <c r="K90" i="125"/>
  <c r="K91" i="125"/>
  <c r="K92" i="125"/>
  <c r="K93" i="125"/>
  <c r="K94" i="125"/>
  <c r="K95" i="125"/>
  <c r="K96" i="125"/>
  <c r="K97" i="125"/>
  <c r="K98" i="125"/>
  <c r="K99" i="125"/>
  <c r="K100" i="125"/>
  <c r="K101" i="125"/>
  <c r="K102" i="125"/>
  <c r="K103" i="125"/>
  <c r="K104" i="125"/>
  <c r="K105" i="125"/>
  <c r="K106" i="125"/>
  <c r="K107" i="125"/>
  <c r="K108" i="125"/>
  <c r="K109" i="125"/>
  <c r="K110" i="125"/>
  <c r="K111" i="125"/>
  <c r="K112" i="125"/>
  <c r="K113" i="125"/>
  <c r="K114" i="125"/>
  <c r="K115" i="125"/>
  <c r="K116" i="125"/>
  <c r="K117" i="125"/>
  <c r="K118" i="125"/>
  <c r="K119" i="125"/>
  <c r="K120" i="125"/>
  <c r="K121" i="125"/>
  <c r="K122" i="125"/>
  <c r="K123" i="125"/>
  <c r="K124" i="125"/>
  <c r="K125" i="125"/>
  <c r="K126" i="125"/>
  <c r="K127" i="125"/>
  <c r="K128" i="125"/>
  <c r="K129" i="125"/>
  <c r="K130" i="125"/>
  <c r="K131" i="125"/>
  <c r="K132" i="125"/>
  <c r="K133" i="125"/>
  <c r="K134" i="125"/>
  <c r="K135" i="125"/>
  <c r="K136" i="125"/>
  <c r="K137" i="125"/>
  <c r="K138" i="125"/>
  <c r="K139" i="125"/>
  <c r="K140" i="125"/>
  <c r="K141" i="125"/>
  <c r="K142" i="125"/>
  <c r="K143" i="125"/>
  <c r="K144" i="125"/>
  <c r="K145" i="125"/>
  <c r="K146" i="125"/>
  <c r="K147" i="125"/>
  <c r="K148" i="125"/>
  <c r="K149" i="125"/>
  <c r="K150" i="125"/>
  <c r="K151" i="125"/>
  <c r="K152" i="125"/>
  <c r="K153" i="125"/>
  <c r="K154" i="125"/>
  <c r="K155" i="125"/>
  <c r="K156" i="125"/>
  <c r="K157" i="125"/>
  <c r="K158" i="125"/>
  <c r="K159" i="125"/>
  <c r="K160" i="125"/>
  <c r="K161" i="125"/>
  <c r="K162" i="125"/>
  <c r="K163" i="125"/>
  <c r="K164" i="125"/>
  <c r="K165" i="125"/>
  <c r="K166" i="125"/>
  <c r="K167" i="125"/>
  <c r="K168" i="125"/>
  <c r="K169" i="125"/>
  <c r="K170" i="125"/>
  <c r="K171" i="125"/>
  <c r="K172" i="125"/>
  <c r="K173" i="125"/>
  <c r="K174" i="125"/>
  <c r="K175" i="125"/>
  <c r="K176" i="125"/>
  <c r="K177" i="125"/>
  <c r="K178" i="125"/>
  <c r="K179" i="125"/>
  <c r="K180" i="125"/>
  <c r="K181" i="125"/>
  <c r="K182" i="125"/>
  <c r="K183" i="125"/>
  <c r="K184" i="125"/>
  <c r="K185" i="125"/>
  <c r="K186" i="125"/>
  <c r="K187" i="125"/>
  <c r="K188" i="125"/>
  <c r="K189" i="125"/>
  <c r="K190" i="125"/>
  <c r="K191" i="125"/>
  <c r="K192" i="125"/>
  <c r="K193" i="125"/>
  <c r="K194" i="125"/>
  <c r="K195" i="125"/>
  <c r="K196" i="125"/>
  <c r="K197" i="125"/>
  <c r="K198" i="125"/>
  <c r="K199" i="125"/>
  <c r="K200" i="125"/>
  <c r="K201" i="125"/>
  <c r="K202" i="125"/>
  <c r="K203" i="125"/>
  <c r="K204" i="125"/>
  <c r="K205" i="125"/>
  <c r="K206" i="125"/>
  <c r="K242" i="125"/>
  <c r="K243" i="125"/>
  <c r="K244" i="125"/>
  <c r="K245" i="125"/>
  <c r="K246" i="125"/>
  <c r="K247" i="125"/>
  <c r="G5" i="124"/>
  <c r="G6" i="124"/>
  <c r="J16" i="2"/>
  <c r="A65" i="134"/>
  <c r="B65" i="134"/>
  <c r="D65" i="134"/>
  <c r="A66" i="134"/>
  <c r="B66" i="134"/>
  <c r="D66" i="134"/>
  <c r="A67" i="134"/>
  <c r="B67" i="134"/>
  <c r="D67" i="134"/>
  <c r="A68" i="134"/>
  <c r="B68" i="134"/>
  <c r="D68" i="134"/>
  <c r="A70" i="134"/>
  <c r="B70" i="134"/>
  <c r="D70" i="134"/>
  <c r="A71" i="134"/>
  <c r="B71" i="134"/>
  <c r="D71" i="134"/>
  <c r="A73" i="134"/>
  <c r="B73" i="134"/>
  <c r="D73" i="134"/>
  <c r="A74" i="134"/>
  <c r="B74" i="134"/>
  <c r="D74" i="134"/>
  <c r="A75" i="134"/>
  <c r="B75" i="134"/>
  <c r="D75" i="134"/>
  <c r="A76" i="134"/>
  <c r="B76" i="134"/>
  <c r="D76" i="134"/>
  <c r="H70" i="134"/>
  <c r="A9" i="134"/>
  <c r="B9" i="134"/>
  <c r="D9" i="134"/>
  <c r="A15" i="134"/>
  <c r="B15" i="134"/>
  <c r="D15" i="134"/>
  <c r="A16" i="134"/>
  <c r="B16" i="134"/>
  <c r="D16" i="134"/>
  <c r="A17" i="134"/>
  <c r="B17" i="134"/>
  <c r="D17" i="134"/>
  <c r="A18" i="134"/>
  <c r="B18" i="134"/>
  <c r="D18" i="134"/>
  <c r="A19" i="134"/>
  <c r="B19" i="134"/>
  <c r="D19" i="134"/>
  <c r="A20" i="134"/>
  <c r="B20" i="134"/>
  <c r="D20" i="134"/>
  <c r="A21" i="134"/>
  <c r="B21" i="134"/>
  <c r="D21" i="134"/>
  <c r="A22" i="134"/>
  <c r="B22" i="134"/>
  <c r="D22" i="134"/>
  <c r="A23" i="134"/>
  <c r="B23" i="134"/>
  <c r="D23" i="134"/>
  <c r="A24" i="134"/>
  <c r="B24" i="134"/>
  <c r="D24" i="134"/>
  <c r="A25" i="134"/>
  <c r="B25" i="134"/>
  <c r="D25" i="134"/>
  <c r="A26" i="134"/>
  <c r="B26" i="134"/>
  <c r="D26" i="134"/>
  <c r="A27" i="134"/>
  <c r="B27" i="134"/>
  <c r="D27" i="134"/>
  <c r="A28" i="134"/>
  <c r="B28" i="134"/>
  <c r="D28" i="134"/>
  <c r="A29" i="134"/>
  <c r="B29" i="134"/>
  <c r="D29" i="134"/>
  <c r="A30" i="134"/>
  <c r="B30" i="134"/>
  <c r="D30" i="134"/>
  <c r="A31" i="134"/>
  <c r="B31" i="134"/>
  <c r="D31" i="134"/>
  <c r="A32" i="134"/>
  <c r="B32" i="134"/>
  <c r="D32" i="134"/>
  <c r="A33" i="134"/>
  <c r="B33" i="134"/>
  <c r="D33" i="134"/>
  <c r="A34" i="134"/>
  <c r="B34" i="134"/>
  <c r="D34" i="134"/>
  <c r="A35" i="134"/>
  <c r="B35" i="134"/>
  <c r="D35" i="134"/>
  <c r="A36" i="134"/>
  <c r="B36" i="134"/>
  <c r="D36" i="134"/>
  <c r="A38" i="134"/>
  <c r="B38" i="134"/>
  <c r="D38" i="134"/>
  <c r="A39" i="134"/>
  <c r="B39" i="134"/>
  <c r="D39" i="134"/>
  <c r="A40" i="134"/>
  <c r="B40" i="134"/>
  <c r="D40" i="134"/>
  <c r="A41" i="134"/>
  <c r="B41" i="134"/>
  <c r="D41" i="134"/>
  <c r="A42" i="134"/>
  <c r="B42" i="134"/>
  <c r="D42" i="134"/>
  <c r="A43" i="134"/>
  <c r="B43" i="134"/>
  <c r="D43" i="134"/>
  <c r="A44" i="134"/>
  <c r="B44" i="134"/>
  <c r="D44" i="134"/>
  <c r="A45" i="134"/>
  <c r="B45" i="134"/>
  <c r="D45" i="134"/>
  <c r="A46" i="134"/>
  <c r="B46" i="134"/>
  <c r="D46" i="134"/>
  <c r="A47" i="134"/>
  <c r="B47" i="134"/>
  <c r="D47" i="134"/>
  <c r="A48" i="134"/>
  <c r="B48" i="134"/>
  <c r="D48" i="134"/>
  <c r="A49" i="134"/>
  <c r="B49" i="134"/>
  <c r="D49" i="134"/>
  <c r="A50" i="134"/>
  <c r="B50" i="134"/>
  <c r="D50" i="134"/>
  <c r="A51" i="134"/>
  <c r="B51" i="134"/>
  <c r="D51" i="134"/>
  <c r="A52" i="134"/>
  <c r="B52" i="134"/>
  <c r="D52" i="134"/>
  <c r="A53" i="134"/>
  <c r="B53" i="134"/>
  <c r="D53" i="134"/>
  <c r="A54" i="134"/>
  <c r="B54" i="134"/>
  <c r="D54" i="134"/>
  <c r="A55" i="134"/>
  <c r="B55" i="134"/>
  <c r="D55" i="134"/>
  <c r="A56" i="134"/>
  <c r="B56" i="134"/>
  <c r="D56" i="134"/>
  <c r="A57" i="134"/>
  <c r="B57" i="134"/>
  <c r="D57" i="134"/>
  <c r="A58" i="134"/>
  <c r="B58" i="134"/>
  <c r="D58" i="134"/>
  <c r="A59" i="134"/>
  <c r="B59" i="134"/>
  <c r="D59" i="134"/>
  <c r="A60" i="134"/>
  <c r="B60" i="134"/>
  <c r="D60" i="134"/>
  <c r="A61" i="134"/>
  <c r="B61" i="134"/>
  <c r="D61" i="134"/>
  <c r="A62" i="134"/>
  <c r="B62" i="134"/>
  <c r="D62" i="134"/>
  <c r="A63" i="134"/>
  <c r="B63" i="134"/>
  <c r="D63" i="134"/>
  <c r="A64" i="134"/>
  <c r="B64" i="134"/>
  <c r="D64" i="134"/>
  <c r="H51" i="134"/>
  <c r="H47" i="134"/>
  <c r="H76" i="134"/>
  <c r="H65" i="134"/>
  <c r="H62" i="134"/>
  <c r="H61" i="134"/>
  <c r="H57" i="134"/>
  <c r="H54" i="134"/>
  <c r="H44" i="134"/>
  <c r="H40" i="134"/>
  <c r="H34" i="134"/>
  <c r="H30" i="134"/>
  <c r="H26" i="134"/>
  <c r="H22" i="134"/>
  <c r="H18" i="134"/>
  <c r="H15" i="134"/>
  <c r="D8" i="134"/>
  <c r="B8" i="134"/>
  <c r="A8" i="134"/>
  <c r="N2" i="134"/>
  <c r="F2" i="134"/>
  <c r="B2" i="134"/>
  <c r="G6" i="133"/>
  <c r="G5" i="133"/>
  <c r="P2" i="133"/>
  <c r="I2" i="133"/>
  <c r="B2" i="133"/>
  <c r="H48" i="134"/>
  <c r="H50" i="134"/>
  <c r="H52" i="134"/>
  <c r="H66" i="134"/>
  <c r="H68" i="134"/>
  <c r="H71" i="134"/>
  <c r="H67" i="134"/>
  <c r="H49" i="134"/>
  <c r="H17" i="134"/>
  <c r="H53" i="134"/>
  <c r="H42" i="134"/>
  <c r="H39" i="134"/>
  <c r="H58" i="134"/>
  <c r="H56" i="134"/>
  <c r="H9" i="134"/>
  <c r="H21" i="134"/>
  <c r="H25" i="134"/>
  <c r="H29" i="134"/>
  <c r="H33" i="134"/>
  <c r="H38" i="134"/>
  <c r="H43" i="134"/>
  <c r="H46" i="134"/>
  <c r="H64" i="134"/>
  <c r="H73" i="134"/>
  <c r="H60" i="134"/>
  <c r="H75" i="134"/>
  <c r="H41" i="134"/>
  <c r="H8" i="134"/>
  <c r="E77" i="134"/>
  <c r="H16" i="134"/>
  <c r="H20" i="134"/>
  <c r="H32" i="134"/>
  <c r="H36" i="134"/>
  <c r="H28" i="134"/>
  <c r="H45" i="134"/>
  <c r="H24" i="134"/>
  <c r="H55" i="134"/>
  <c r="H59" i="134"/>
  <c r="H63" i="134"/>
  <c r="H74" i="134"/>
  <c r="H19" i="134"/>
  <c r="H23" i="134"/>
  <c r="H27" i="134"/>
  <c r="H31" i="134"/>
  <c r="H35" i="134"/>
  <c r="H18" i="125"/>
  <c r="H34" i="125"/>
  <c r="H38" i="125"/>
  <c r="H42" i="125"/>
  <c r="H62" i="125"/>
  <c r="H78" i="125"/>
  <c r="H82" i="125"/>
  <c r="H83" i="125"/>
  <c r="H90" i="125"/>
  <c r="H98" i="125"/>
  <c r="H102" i="125"/>
  <c r="H122" i="125"/>
  <c r="H126" i="125"/>
  <c r="H130" i="125"/>
  <c r="H143" i="125"/>
  <c r="H151" i="125"/>
  <c r="H159" i="125"/>
  <c r="H163" i="125"/>
  <c r="H167" i="125"/>
  <c r="H171" i="125"/>
  <c r="H175" i="125"/>
  <c r="H179" i="125"/>
  <c r="H183" i="125"/>
  <c r="H190" i="125"/>
  <c r="H198" i="125"/>
  <c r="H242" i="125"/>
  <c r="H246" i="125"/>
  <c r="H79" i="125"/>
  <c r="H247" i="125"/>
  <c r="H74" i="125"/>
  <c r="H73" i="125"/>
  <c r="H70" i="125"/>
  <c r="H66" i="125"/>
  <c r="H61" i="125"/>
  <c r="H49" i="125"/>
  <c r="H41" i="125"/>
  <c r="H30" i="125"/>
  <c r="H28" i="125"/>
  <c r="H26" i="125"/>
  <c r="H22" i="125"/>
  <c r="H17" i="125"/>
  <c r="H244" i="125"/>
  <c r="H206" i="125"/>
  <c r="H202" i="125"/>
  <c r="H197" i="125"/>
  <c r="H193" i="125"/>
  <c r="H189" i="125"/>
  <c r="H186" i="125"/>
  <c r="H185" i="125"/>
  <c r="H181" i="125"/>
  <c r="H178" i="125"/>
  <c r="H177" i="125"/>
  <c r="H174" i="125"/>
  <c r="H170" i="125"/>
  <c r="H169" i="125"/>
  <c r="H166" i="125"/>
  <c r="H161" i="125"/>
  <c r="H156" i="125"/>
  <c r="H146" i="125"/>
  <c r="H145" i="125"/>
  <c r="H142" i="125"/>
  <c r="H141" i="125"/>
  <c r="H138" i="125"/>
  <c r="H134" i="125"/>
  <c r="H129" i="125"/>
  <c r="H118" i="125"/>
  <c r="H114" i="125"/>
  <c r="H110" i="125"/>
  <c r="H106" i="125"/>
  <c r="H89" i="125"/>
  <c r="H14" i="125"/>
  <c r="H13" i="125"/>
  <c r="N2" i="125"/>
  <c r="F2" i="125"/>
  <c r="C2" i="125"/>
  <c r="P2" i="124"/>
  <c r="I2" i="124"/>
  <c r="B2" i="124"/>
  <c r="H205" i="125"/>
  <c r="H194" i="125"/>
  <c r="H94" i="125"/>
  <c r="H54" i="125"/>
  <c r="H85" i="125"/>
  <c r="H116" i="125"/>
  <c r="H108" i="125"/>
  <c r="H124" i="125"/>
  <c r="H137" i="125"/>
  <c r="H154" i="125"/>
  <c r="H37" i="125"/>
  <c r="H133" i="125"/>
  <c r="H135" i="125"/>
  <c r="H162" i="125"/>
  <c r="H165" i="125"/>
  <c r="H182" i="125"/>
  <c r="H25" i="125"/>
  <c r="H57" i="125"/>
  <c r="H77" i="125"/>
  <c r="H100" i="125"/>
  <c r="H139" i="125"/>
  <c r="H96" i="125"/>
  <c r="H104" i="125"/>
  <c r="H112" i="125"/>
  <c r="H120" i="125"/>
  <c r="H131" i="125"/>
  <c r="H147" i="125"/>
  <c r="H150" i="125"/>
  <c r="H158" i="125"/>
  <c r="H93" i="125"/>
  <c r="H97" i="125"/>
  <c r="H101" i="125"/>
  <c r="H105" i="125"/>
  <c r="H109" i="125"/>
  <c r="H113" i="125"/>
  <c r="H117" i="125"/>
  <c r="H121" i="125"/>
  <c r="H125" i="125"/>
  <c r="H152" i="125"/>
  <c r="H86" i="125"/>
  <c r="H88" i="125"/>
  <c r="H92" i="125"/>
  <c r="H157" i="125"/>
  <c r="H201" i="125"/>
  <c r="H21" i="125"/>
  <c r="H33" i="125"/>
  <c r="H46" i="125"/>
  <c r="H53" i="125"/>
  <c r="H56" i="125"/>
  <c r="H69" i="125"/>
  <c r="H29" i="125"/>
  <c r="H45" i="125"/>
  <c r="H50" i="125"/>
  <c r="H58" i="125"/>
  <c r="H65" i="125"/>
  <c r="H173" i="125"/>
  <c r="H184" i="125"/>
  <c r="H188" i="125"/>
  <c r="H192" i="125"/>
  <c r="H196" i="125"/>
  <c r="H200" i="125"/>
  <c r="H204" i="125"/>
  <c r="H15" i="125"/>
  <c r="H16" i="125"/>
  <c r="H20" i="125"/>
  <c r="H24" i="125"/>
  <c r="H55" i="125"/>
  <c r="H31" i="125"/>
  <c r="H32" i="125"/>
  <c r="H35" i="125"/>
  <c r="H36" i="125"/>
  <c r="H39" i="125"/>
  <c r="H40" i="125"/>
  <c r="H43" i="125"/>
  <c r="H44" i="125"/>
  <c r="H59" i="125"/>
  <c r="H60" i="125"/>
  <c r="H63" i="125"/>
  <c r="H64" i="125"/>
  <c r="H67" i="125"/>
  <c r="H68" i="125"/>
  <c r="H71" i="125"/>
  <c r="H72" i="125"/>
  <c r="H75" i="125"/>
  <c r="H76" i="125"/>
  <c r="H19" i="125"/>
  <c r="H23" i="125"/>
  <c r="H27" i="125"/>
  <c r="H47" i="125"/>
  <c r="H48" i="125"/>
  <c r="H80" i="125"/>
  <c r="H81" i="125"/>
  <c r="H84" i="125"/>
  <c r="H51" i="125"/>
  <c r="H52" i="125"/>
  <c r="H149" i="125"/>
  <c r="H153" i="125"/>
  <c r="E252" i="125"/>
  <c r="H12" i="125"/>
  <c r="H87" i="125"/>
  <c r="H91" i="125"/>
  <c r="H99" i="125"/>
  <c r="H107" i="125"/>
  <c r="H115" i="125"/>
  <c r="H123" i="125"/>
  <c r="H128" i="125"/>
  <c r="H132" i="125"/>
  <c r="H136" i="125"/>
  <c r="H140" i="125"/>
  <c r="H144" i="125"/>
  <c r="H148" i="125"/>
  <c r="H164" i="125"/>
  <c r="H172" i="125"/>
  <c r="H180" i="125"/>
  <c r="H95" i="125"/>
  <c r="H103" i="125"/>
  <c r="H111" i="125"/>
  <c r="H119" i="125"/>
  <c r="H155" i="125"/>
  <c r="H187" i="125"/>
  <c r="H127" i="125"/>
  <c r="H243" i="125"/>
  <c r="H245" i="125"/>
  <c r="H160" i="125"/>
  <c r="H168" i="125"/>
  <c r="H176" i="125"/>
  <c r="H191" i="125"/>
  <c r="H195" i="125"/>
  <c r="H199" i="125"/>
  <c r="H203" i="125"/>
  <c r="N77" i="116"/>
  <c r="F76" i="116"/>
  <c r="F75" i="116"/>
  <c r="N74" i="116"/>
  <c r="F74" i="116"/>
  <c r="N63" i="116"/>
  <c r="I63" i="116"/>
  <c r="D63" i="116"/>
  <c r="N19" i="116"/>
  <c r="N23" i="116" s="1"/>
  <c r="I19" i="116"/>
  <c r="I25" i="116" s="1"/>
  <c r="D19" i="116"/>
  <c r="D25" i="116" s="1"/>
  <c r="I47" i="116"/>
  <c r="D47" i="116"/>
  <c r="N47" i="116"/>
  <c r="N77" i="112"/>
  <c r="N74" i="112"/>
  <c r="F76" i="112"/>
  <c r="F75" i="112"/>
  <c r="F74" i="112"/>
  <c r="N63" i="112"/>
  <c r="I63" i="112"/>
  <c r="N19" i="112"/>
  <c r="N27" i="112" s="1"/>
  <c r="I19" i="112"/>
  <c r="I31" i="112" s="1"/>
  <c r="K71" i="106"/>
  <c r="J71" i="106"/>
  <c r="I71" i="106"/>
  <c r="H71" i="106"/>
  <c r="G71" i="106"/>
  <c r="F71" i="106"/>
  <c r="E71" i="106"/>
  <c r="K70" i="106"/>
  <c r="J70" i="106"/>
  <c r="I70" i="106"/>
  <c r="H70" i="106"/>
  <c r="G70" i="106"/>
  <c r="F70" i="106"/>
  <c r="E70" i="106"/>
  <c r="K69" i="106"/>
  <c r="J69" i="106"/>
  <c r="I69" i="106"/>
  <c r="H69" i="106"/>
  <c r="G69" i="106"/>
  <c r="F69" i="106"/>
  <c r="E69" i="106"/>
  <c r="K68" i="106"/>
  <c r="J68" i="106"/>
  <c r="I68" i="106"/>
  <c r="H68" i="106"/>
  <c r="G68" i="106"/>
  <c r="F68" i="106"/>
  <c r="E68" i="106"/>
  <c r="K67" i="106"/>
  <c r="J67" i="106"/>
  <c r="I67" i="106"/>
  <c r="H67" i="106"/>
  <c r="G67" i="106"/>
  <c r="F67" i="106"/>
  <c r="E67" i="106"/>
  <c r="K66" i="106"/>
  <c r="J66" i="106"/>
  <c r="I66" i="106"/>
  <c r="H66" i="106"/>
  <c r="G66" i="106"/>
  <c r="F66" i="106"/>
  <c r="E66" i="106"/>
  <c r="K65" i="106"/>
  <c r="J65" i="106"/>
  <c r="I65" i="106"/>
  <c r="H65" i="106"/>
  <c r="G65" i="106"/>
  <c r="F65" i="106"/>
  <c r="E65" i="106"/>
  <c r="K64" i="106"/>
  <c r="J64" i="106"/>
  <c r="I64" i="106"/>
  <c r="H64" i="106"/>
  <c r="G64" i="106"/>
  <c r="F64" i="106"/>
  <c r="E64" i="106"/>
  <c r="L63" i="106"/>
  <c r="L62" i="106"/>
  <c r="L61" i="106"/>
  <c r="L60" i="106"/>
  <c r="L59" i="106"/>
  <c r="L58" i="106"/>
  <c r="L57" i="106"/>
  <c r="E51" i="106"/>
  <c r="E52" i="106" s="1"/>
  <c r="K38" i="106"/>
  <c r="C37" i="106"/>
  <c r="A37" i="106"/>
  <c r="J37" i="106" s="1"/>
  <c r="C34" i="106"/>
  <c r="A34" i="106"/>
  <c r="C31" i="106"/>
  <c r="A31" i="106"/>
  <c r="H31" i="106" s="1"/>
  <c r="C28" i="106"/>
  <c r="A28" i="106"/>
  <c r="C25" i="106"/>
  <c r="F25" i="106" s="1"/>
  <c r="E22" i="106"/>
  <c r="C18" i="106"/>
  <c r="A18" i="106"/>
  <c r="C15" i="106"/>
  <c r="A15" i="106"/>
  <c r="I15" i="106" s="1"/>
  <c r="C12" i="106"/>
  <c r="H12" i="106" s="1"/>
  <c r="G9" i="106"/>
  <c r="F9" i="106"/>
  <c r="L6" i="106"/>
  <c r="K6" i="106"/>
  <c r="J6" i="106"/>
  <c r="I6" i="106"/>
  <c r="H6" i="106"/>
  <c r="G6" i="106"/>
  <c r="F6" i="106"/>
  <c r="C47" i="106" s="1"/>
  <c r="K47" i="106" s="1"/>
  <c r="K51" i="106" s="1"/>
  <c r="F1" i="102"/>
  <c r="F1" i="101"/>
  <c r="B1" i="102"/>
  <c r="B1" i="101"/>
  <c r="B3" i="40"/>
  <c r="C5" i="2"/>
  <c r="C4" i="2"/>
  <c r="C3" i="2"/>
  <c r="K218" i="124" l="1"/>
  <c r="L218" i="124" s="1"/>
  <c r="AY218" i="124" s="1"/>
  <c r="F71" i="173"/>
  <c r="J18" i="106"/>
  <c r="F39" i="106"/>
  <c r="F51" i="106" s="1"/>
  <c r="G72" i="106"/>
  <c r="L70" i="106"/>
  <c r="C46" i="106"/>
  <c r="J46" i="106" s="1"/>
  <c r="L68" i="106"/>
  <c r="N29" i="116"/>
  <c r="L69" i="106"/>
  <c r="J72" i="106"/>
  <c r="K72" i="106"/>
  <c r="L67" i="106"/>
  <c r="H39" i="106"/>
  <c r="G28" i="106"/>
  <c r="I29" i="116"/>
  <c r="I23" i="158"/>
  <c r="D29" i="158"/>
  <c r="L65" i="106"/>
  <c r="D25" i="158"/>
  <c r="K64" i="168"/>
  <c r="I71" i="173"/>
  <c r="J71" i="173"/>
  <c r="I34" i="106"/>
  <c r="H72" i="106"/>
  <c r="L71" i="106"/>
  <c r="I27" i="112"/>
  <c r="I27" i="158"/>
  <c r="L66" i="173"/>
  <c r="I72" i="106"/>
  <c r="L66" i="106"/>
  <c r="L71" i="173"/>
  <c r="A22" i="173" s="1"/>
  <c r="G39" i="106"/>
  <c r="E72" i="106"/>
  <c r="B10" i="40"/>
  <c r="E10" i="40" s="1"/>
  <c r="I31" i="158"/>
  <c r="F72" i="106"/>
  <c r="I15" i="173"/>
  <c r="L64" i="106"/>
  <c r="N25" i="112"/>
  <c r="I25" i="158"/>
  <c r="D65" i="2"/>
  <c r="J20" i="2"/>
  <c r="B16" i="40"/>
  <c r="K52" i="106"/>
  <c r="B11" i="40"/>
  <c r="I11" i="40" s="1"/>
  <c r="F52" i="106"/>
  <c r="A25" i="173"/>
  <c r="E22" i="173"/>
  <c r="J51" i="106"/>
  <c r="C48" i="173"/>
  <c r="L48" i="173" s="1"/>
  <c r="L51" i="173" s="1"/>
  <c r="D31" i="158"/>
  <c r="C44" i="106"/>
  <c r="H44" i="106" s="1"/>
  <c r="H51" i="106" s="1"/>
  <c r="N31" i="112"/>
  <c r="C45" i="173"/>
  <c r="I45" i="173" s="1"/>
  <c r="I51" i="173" s="1"/>
  <c r="E14" i="40" s="1"/>
  <c r="L65" i="173"/>
  <c r="C47" i="173"/>
  <c r="K47" i="173" s="1"/>
  <c r="K51" i="173" s="1"/>
  <c r="E16" i="40" s="1"/>
  <c r="I10" i="40"/>
  <c r="C45" i="106"/>
  <c r="I45" i="106" s="1"/>
  <c r="I51" i="106" s="1"/>
  <c r="N25" i="116"/>
  <c r="D25" i="112"/>
  <c r="C44" i="173"/>
  <c r="H44" i="173" s="1"/>
  <c r="C43" i="173"/>
  <c r="G43" i="173" s="1"/>
  <c r="N23" i="112"/>
  <c r="D23" i="158"/>
  <c r="J51" i="173"/>
  <c r="E15" i="40" s="1"/>
  <c r="B9" i="40"/>
  <c r="C48" i="106"/>
  <c r="L48" i="106" s="1"/>
  <c r="L51" i="106" s="1"/>
  <c r="C43" i="106"/>
  <c r="G43" i="106" s="1"/>
  <c r="G51" i="106" s="1"/>
  <c r="N29" i="112"/>
  <c r="J42" i="2"/>
  <c r="I31" i="116"/>
  <c r="I23" i="116"/>
  <c r="D27" i="116"/>
  <c r="I27" i="116"/>
  <c r="I32" i="158"/>
  <c r="I34" i="158" s="1"/>
  <c r="I39" i="158" s="1"/>
  <c r="I65" i="158" s="1"/>
  <c r="I71" i="158" s="1"/>
  <c r="I72" i="158" s="1"/>
  <c r="K72" i="158" s="1"/>
  <c r="D23" i="112"/>
  <c r="D29" i="112"/>
  <c r="K58" i="168"/>
  <c r="K66" i="168"/>
  <c r="K42" i="168"/>
  <c r="K19" i="168"/>
  <c r="D31" i="116"/>
  <c r="N31" i="116"/>
  <c r="D23" i="116"/>
  <c r="N27" i="116"/>
  <c r="D29" i="116"/>
  <c r="N25" i="158"/>
  <c r="N23" i="158"/>
  <c r="N31" i="158"/>
  <c r="N27" i="158"/>
  <c r="D31" i="112"/>
  <c r="I29" i="112"/>
  <c r="I25" i="112"/>
  <c r="I23" i="112"/>
  <c r="K48" i="168"/>
  <c r="K12" i="168"/>
  <c r="K67" i="168"/>
  <c r="K55" i="168"/>
  <c r="L243" i="172"/>
  <c r="M243" i="172" s="1"/>
  <c r="L239" i="172"/>
  <c r="M239" i="172" s="1"/>
  <c r="L187" i="172"/>
  <c r="M187" i="172" s="1"/>
  <c r="L183" i="172"/>
  <c r="L179" i="172"/>
  <c r="M179" i="172" s="1"/>
  <c r="L167" i="172"/>
  <c r="M167" i="172" s="1"/>
  <c r="L163" i="172"/>
  <c r="M163" i="172" s="1"/>
  <c r="L159" i="172"/>
  <c r="M159" i="172" s="1"/>
  <c r="L155" i="172"/>
  <c r="M155" i="172" s="1"/>
  <c r="L151" i="172"/>
  <c r="M151" i="172" s="1"/>
  <c r="L83" i="172"/>
  <c r="M83" i="172" s="1"/>
  <c r="L79" i="172"/>
  <c r="M79" i="172" s="1"/>
  <c r="L75" i="172"/>
  <c r="M75" i="172" s="1"/>
  <c r="L55" i="172"/>
  <c r="L51" i="172"/>
  <c r="M51" i="172" s="1"/>
  <c r="L240" i="172"/>
  <c r="M240" i="172" s="1"/>
  <c r="L188" i="172"/>
  <c r="M188" i="172" s="1"/>
  <c r="L184" i="172"/>
  <c r="M184" i="172" s="1"/>
  <c r="L180" i="172"/>
  <c r="M180" i="172" s="1"/>
  <c r="L164" i="172"/>
  <c r="M164" i="172" s="1"/>
  <c r="L160" i="172"/>
  <c r="M160" i="172" s="1"/>
  <c r="L156" i="172"/>
  <c r="M156" i="172" s="1"/>
  <c r="L152" i="172"/>
  <c r="M152" i="172" s="1"/>
  <c r="L80" i="172"/>
  <c r="M80" i="172" s="1"/>
  <c r="L76" i="172"/>
  <c r="L72" i="172"/>
  <c r="M72" i="172" s="1"/>
  <c r="L56" i="172"/>
  <c r="M56" i="172" s="1"/>
  <c r="L52" i="172"/>
  <c r="L241" i="172"/>
  <c r="M241" i="172" s="1"/>
  <c r="L189" i="172"/>
  <c r="M189" i="172" s="1"/>
  <c r="L185" i="172"/>
  <c r="M185" i="172" s="1"/>
  <c r="L181" i="172"/>
  <c r="M181" i="172" s="1"/>
  <c r="L165" i="172"/>
  <c r="M165" i="172" s="1"/>
  <c r="L161" i="172"/>
  <c r="M161" i="172" s="1"/>
  <c r="L157" i="172"/>
  <c r="M157" i="172" s="1"/>
  <c r="L153" i="172"/>
  <c r="M153" i="172" s="1"/>
  <c r="L149" i="172"/>
  <c r="M149" i="172" s="1"/>
  <c r="L81" i="172"/>
  <c r="M81" i="172" s="1"/>
  <c r="L77" i="172"/>
  <c r="M77" i="172" s="1"/>
  <c r="L73" i="172"/>
  <c r="M73" i="172" s="1"/>
  <c r="L53" i="172"/>
  <c r="M53" i="172" s="1"/>
  <c r="L242" i="172"/>
  <c r="M242" i="172" s="1"/>
  <c r="L190" i="172"/>
  <c r="M190" i="172" s="1"/>
  <c r="L186" i="172"/>
  <c r="L182" i="172"/>
  <c r="M182" i="172" s="1"/>
  <c r="L178" i="172"/>
  <c r="M178" i="172" s="1"/>
  <c r="L166" i="172"/>
  <c r="M166" i="172" s="1"/>
  <c r="L162" i="172"/>
  <c r="M162" i="172" s="1"/>
  <c r="L158" i="172"/>
  <c r="M158" i="172" s="1"/>
  <c r="L154" i="172"/>
  <c r="M154" i="172" s="1"/>
  <c r="L150" i="172"/>
  <c r="M150" i="172" s="1"/>
  <c r="L82" i="172"/>
  <c r="M82" i="172" s="1"/>
  <c r="L78" i="172"/>
  <c r="M78" i="172" s="1"/>
  <c r="L74" i="172"/>
  <c r="M74" i="172" s="1"/>
  <c r="L54" i="172"/>
  <c r="M54" i="172" s="1"/>
  <c r="K60" i="168"/>
  <c r="K75" i="168"/>
  <c r="K39" i="168"/>
  <c r="K31" i="168"/>
  <c r="K56" i="168"/>
  <c r="K35" i="168"/>
  <c r="K74" i="168"/>
  <c r="K70" i="168"/>
  <c r="K38" i="168"/>
  <c r="K34" i="168"/>
  <c r="K15" i="168"/>
  <c r="K73" i="168"/>
  <c r="K69" i="168"/>
  <c r="K61" i="168"/>
  <c r="K53" i="168"/>
  <c r="K49" i="168"/>
  <c r="K45" i="168"/>
  <c r="K146" i="172"/>
  <c r="K138" i="172"/>
  <c r="K130" i="172"/>
  <c r="K118" i="172"/>
  <c r="K110" i="172"/>
  <c r="K94" i="172"/>
  <c r="K62" i="172"/>
  <c r="K170" i="172"/>
  <c r="K231" i="172"/>
  <c r="K223" i="172"/>
  <c r="K215" i="172"/>
  <c r="K199" i="172"/>
  <c r="K247" i="172"/>
  <c r="K210" i="172"/>
  <c r="K206" i="172"/>
  <c r="K202" i="172"/>
  <c r="K194" i="172"/>
  <c r="K135" i="172"/>
  <c r="K127" i="172"/>
  <c r="K119" i="172"/>
  <c r="K95" i="172"/>
  <c r="K71" i="172"/>
  <c r="T7" i="124"/>
  <c r="K244" i="172"/>
  <c r="K172" i="172"/>
  <c r="K148" i="172"/>
  <c r="K124" i="172"/>
  <c r="K234" i="172"/>
  <c r="K226" i="172"/>
  <c r="K218" i="172"/>
  <c r="K68" i="172"/>
  <c r="K228" i="172"/>
  <c r="K220" i="172"/>
  <c r="K212" i="172"/>
  <c r="K204" i="172"/>
  <c r="K196" i="172"/>
  <c r="K67" i="133"/>
  <c r="L67" i="133" s="1"/>
  <c r="AY67" i="133" s="1"/>
  <c r="K63" i="133"/>
  <c r="L63" i="133" s="1"/>
  <c r="AY63" i="133" s="1"/>
  <c r="K13" i="133"/>
  <c r="L13" i="133" s="1"/>
  <c r="AY13" i="133" s="1"/>
  <c r="H19" i="133"/>
  <c r="I19" i="133" s="1"/>
  <c r="J19" i="133" s="1"/>
  <c r="H24" i="133"/>
  <c r="I24" i="133" s="1"/>
  <c r="J24" i="133" s="1"/>
  <c r="K29" i="133"/>
  <c r="L29" i="133" s="1"/>
  <c r="AY29" i="133" s="1"/>
  <c r="H34" i="133"/>
  <c r="I34" i="133" s="1"/>
  <c r="J34" i="133" s="1"/>
  <c r="H47" i="133"/>
  <c r="I47" i="133" s="1"/>
  <c r="J47" i="133" s="1"/>
  <c r="H51" i="133"/>
  <c r="I51" i="133" s="1"/>
  <c r="J51" i="133" s="1"/>
  <c r="H38" i="133"/>
  <c r="I38" i="133" s="1"/>
  <c r="J38" i="133" s="1"/>
  <c r="H43" i="133"/>
  <c r="I43" i="133" s="1"/>
  <c r="J43" i="133" s="1"/>
  <c r="K75" i="133"/>
  <c r="L75" i="133" s="1"/>
  <c r="AY75" i="133" s="1"/>
  <c r="H59" i="133"/>
  <c r="I59" i="133" s="1"/>
  <c r="J59" i="133" s="1"/>
  <c r="K71" i="133"/>
  <c r="L71" i="133" s="1"/>
  <c r="AY71" i="133" s="1"/>
  <c r="H55" i="133"/>
  <c r="I55" i="133" s="1"/>
  <c r="J55" i="133" s="1"/>
  <c r="K242" i="124"/>
  <c r="L242" i="124" s="1"/>
  <c r="AY242" i="124" s="1"/>
  <c r="K190" i="124"/>
  <c r="L190" i="124" s="1"/>
  <c r="AY190" i="124" s="1"/>
  <c r="K186" i="124"/>
  <c r="L186" i="124" s="1"/>
  <c r="AY186" i="124" s="1"/>
  <c r="K182" i="124"/>
  <c r="L182" i="124" s="1"/>
  <c r="AY182" i="124" s="1"/>
  <c r="K178" i="124"/>
  <c r="L178" i="124" s="1"/>
  <c r="AY178" i="124" s="1"/>
  <c r="K164" i="124"/>
  <c r="L164" i="124" s="1"/>
  <c r="AY164" i="124" s="1"/>
  <c r="K160" i="124"/>
  <c r="L160" i="124" s="1"/>
  <c r="AY160" i="124" s="1"/>
  <c r="K156" i="124"/>
  <c r="L156" i="124" s="1"/>
  <c r="AY156" i="124" s="1"/>
  <c r="K152" i="124"/>
  <c r="L152" i="124" s="1"/>
  <c r="AY152" i="124" s="1"/>
  <c r="K83" i="124"/>
  <c r="L83" i="124" s="1"/>
  <c r="AY83" i="124" s="1"/>
  <c r="K79" i="124"/>
  <c r="L79" i="124" s="1"/>
  <c r="AY79" i="124" s="1"/>
  <c r="K75" i="124"/>
  <c r="L75" i="124" s="1"/>
  <c r="AY75" i="124" s="1"/>
  <c r="K56" i="124"/>
  <c r="L56" i="124" s="1"/>
  <c r="AY56" i="124" s="1"/>
  <c r="K52" i="124"/>
  <c r="L52" i="124" s="1"/>
  <c r="AY52" i="124" s="1"/>
  <c r="H242" i="124"/>
  <c r="I242" i="124" s="1"/>
  <c r="J242" i="124" s="1"/>
  <c r="H190" i="124"/>
  <c r="I190" i="124" s="1"/>
  <c r="J190" i="124" s="1"/>
  <c r="H186" i="124"/>
  <c r="I186" i="124" s="1"/>
  <c r="J186" i="124" s="1"/>
  <c r="H182" i="124"/>
  <c r="I182" i="124" s="1"/>
  <c r="J182" i="124" s="1"/>
  <c r="H178" i="124"/>
  <c r="I178" i="124" s="1"/>
  <c r="J178" i="124" s="1"/>
  <c r="H164" i="124"/>
  <c r="I164" i="124" s="1"/>
  <c r="J164" i="124" s="1"/>
  <c r="H160" i="124"/>
  <c r="I160" i="124" s="1"/>
  <c r="J160" i="124" s="1"/>
  <c r="H156" i="124"/>
  <c r="I156" i="124" s="1"/>
  <c r="J156" i="124" s="1"/>
  <c r="H152" i="124"/>
  <c r="I152" i="124" s="1"/>
  <c r="J152" i="124" s="1"/>
  <c r="H83" i="124"/>
  <c r="I83" i="124" s="1"/>
  <c r="J83" i="124" s="1"/>
  <c r="H79" i="124"/>
  <c r="I79" i="124" s="1"/>
  <c r="J79" i="124" s="1"/>
  <c r="H75" i="124"/>
  <c r="I75" i="124" s="1"/>
  <c r="J75" i="124" s="1"/>
  <c r="H56" i="124"/>
  <c r="I56" i="124" s="1"/>
  <c r="J56" i="124" s="1"/>
  <c r="H52" i="124"/>
  <c r="I52" i="124" s="1"/>
  <c r="J52" i="124" s="1"/>
  <c r="K188" i="124"/>
  <c r="L188" i="124" s="1"/>
  <c r="AY188" i="124" s="1"/>
  <c r="K162" i="124"/>
  <c r="L162" i="124" s="1"/>
  <c r="AY162" i="124" s="1"/>
  <c r="K154" i="124"/>
  <c r="L154" i="124" s="1"/>
  <c r="AY154" i="124" s="1"/>
  <c r="K81" i="124"/>
  <c r="L81" i="124" s="1"/>
  <c r="AY81" i="124" s="1"/>
  <c r="K54" i="124"/>
  <c r="L54" i="124" s="1"/>
  <c r="AY54" i="124" s="1"/>
  <c r="H240" i="124"/>
  <c r="I240" i="124" s="1"/>
  <c r="J240" i="124" s="1"/>
  <c r="H184" i="124"/>
  <c r="I184" i="124" s="1"/>
  <c r="J184" i="124" s="1"/>
  <c r="H162" i="124"/>
  <c r="I162" i="124" s="1"/>
  <c r="J162" i="124" s="1"/>
  <c r="H154" i="124"/>
  <c r="I154" i="124" s="1"/>
  <c r="J154" i="124" s="1"/>
  <c r="H81" i="124"/>
  <c r="I81" i="124" s="1"/>
  <c r="J81" i="124" s="1"/>
  <c r="H54" i="124"/>
  <c r="I54" i="124" s="1"/>
  <c r="J54" i="124" s="1"/>
  <c r="K239" i="124"/>
  <c r="L239" i="124" s="1"/>
  <c r="AY239" i="124" s="1"/>
  <c r="K179" i="124"/>
  <c r="L179" i="124" s="1"/>
  <c r="AY179" i="124" s="1"/>
  <c r="K161" i="124"/>
  <c r="L161" i="124" s="1"/>
  <c r="AY161" i="124" s="1"/>
  <c r="K153" i="124"/>
  <c r="L153" i="124" s="1"/>
  <c r="AY153" i="124" s="1"/>
  <c r="K76" i="124"/>
  <c r="L76" i="124" s="1"/>
  <c r="AY76" i="124" s="1"/>
  <c r="K53" i="124"/>
  <c r="L53" i="124" s="1"/>
  <c r="AY53" i="124" s="1"/>
  <c r="H187" i="124"/>
  <c r="I187" i="124" s="1"/>
  <c r="J187" i="124" s="1"/>
  <c r="H179" i="124"/>
  <c r="I179" i="124" s="1"/>
  <c r="J179" i="124" s="1"/>
  <c r="H161" i="124"/>
  <c r="I161" i="124" s="1"/>
  <c r="J161" i="124" s="1"/>
  <c r="H149" i="124"/>
  <c r="I149" i="124" s="1"/>
  <c r="J149" i="124" s="1"/>
  <c r="H76" i="124"/>
  <c r="I76" i="124" s="1"/>
  <c r="J76" i="124" s="1"/>
  <c r="H53" i="124"/>
  <c r="I53" i="124" s="1"/>
  <c r="J53" i="124" s="1"/>
  <c r="K241" i="124"/>
  <c r="L241" i="124" s="1"/>
  <c r="AY241" i="124" s="1"/>
  <c r="K189" i="124"/>
  <c r="L189" i="124" s="1"/>
  <c r="AY189" i="124" s="1"/>
  <c r="K185" i="124"/>
  <c r="L185" i="124" s="1"/>
  <c r="AY185" i="124" s="1"/>
  <c r="K181" i="124"/>
  <c r="L181" i="124" s="1"/>
  <c r="AY181" i="124" s="1"/>
  <c r="K167" i="124"/>
  <c r="L167" i="124" s="1"/>
  <c r="AY167" i="124" s="1"/>
  <c r="K163" i="124"/>
  <c r="L163" i="124" s="1"/>
  <c r="AY163" i="124" s="1"/>
  <c r="K159" i="124"/>
  <c r="L159" i="124" s="1"/>
  <c r="AY159" i="124" s="1"/>
  <c r="K155" i="124"/>
  <c r="L155" i="124" s="1"/>
  <c r="AY155" i="124" s="1"/>
  <c r="K151" i="124"/>
  <c r="L151" i="124" s="1"/>
  <c r="AY151" i="124" s="1"/>
  <c r="K82" i="124"/>
  <c r="L82" i="124" s="1"/>
  <c r="AY82" i="124" s="1"/>
  <c r="K78" i="124"/>
  <c r="L78" i="124" s="1"/>
  <c r="AY78" i="124" s="1"/>
  <c r="K74" i="124"/>
  <c r="L74" i="124" s="1"/>
  <c r="AY74" i="124" s="1"/>
  <c r="K55" i="124"/>
  <c r="L55" i="124" s="1"/>
  <c r="AY55" i="124" s="1"/>
  <c r="K51" i="124"/>
  <c r="L51" i="124" s="1"/>
  <c r="AY51" i="124" s="1"/>
  <c r="H241" i="124"/>
  <c r="I241" i="124" s="1"/>
  <c r="J241" i="124" s="1"/>
  <c r="H189" i="124"/>
  <c r="I189" i="124" s="1"/>
  <c r="J189" i="124" s="1"/>
  <c r="H185" i="124"/>
  <c r="I185" i="124" s="1"/>
  <c r="J185" i="124" s="1"/>
  <c r="H181" i="124"/>
  <c r="I181" i="124" s="1"/>
  <c r="J181" i="124" s="1"/>
  <c r="H167" i="124"/>
  <c r="I167" i="124" s="1"/>
  <c r="J167" i="124" s="1"/>
  <c r="H163" i="124"/>
  <c r="I163" i="124" s="1"/>
  <c r="J163" i="124" s="1"/>
  <c r="H159" i="124"/>
  <c r="I159" i="124" s="1"/>
  <c r="J159" i="124" s="1"/>
  <c r="H155" i="124"/>
  <c r="I155" i="124" s="1"/>
  <c r="J155" i="124" s="1"/>
  <c r="H151" i="124"/>
  <c r="I151" i="124" s="1"/>
  <c r="J151" i="124" s="1"/>
  <c r="H82" i="124"/>
  <c r="I82" i="124" s="1"/>
  <c r="J82" i="124" s="1"/>
  <c r="H78" i="124"/>
  <c r="I78" i="124" s="1"/>
  <c r="J78" i="124" s="1"/>
  <c r="H74" i="124"/>
  <c r="I74" i="124" s="1"/>
  <c r="J74" i="124" s="1"/>
  <c r="H55" i="124"/>
  <c r="I55" i="124" s="1"/>
  <c r="J55" i="124" s="1"/>
  <c r="H51" i="124"/>
  <c r="I51" i="124" s="1"/>
  <c r="J51" i="124" s="1"/>
  <c r="K240" i="124"/>
  <c r="L240" i="124" s="1"/>
  <c r="AY240" i="124" s="1"/>
  <c r="K184" i="124"/>
  <c r="L184" i="124" s="1"/>
  <c r="AY184" i="124" s="1"/>
  <c r="K180" i="124"/>
  <c r="L180" i="124" s="1"/>
  <c r="AY180" i="124" s="1"/>
  <c r="K166" i="124"/>
  <c r="L166" i="124" s="1"/>
  <c r="AY166" i="124" s="1"/>
  <c r="K158" i="124"/>
  <c r="L158" i="124" s="1"/>
  <c r="AY158" i="124" s="1"/>
  <c r="K150" i="124"/>
  <c r="L150" i="124" s="1"/>
  <c r="AY150" i="124" s="1"/>
  <c r="K77" i="124"/>
  <c r="L77" i="124" s="1"/>
  <c r="AY77" i="124" s="1"/>
  <c r="K73" i="124"/>
  <c r="L73" i="124" s="1"/>
  <c r="AY73" i="124" s="1"/>
  <c r="K50" i="124"/>
  <c r="L50" i="124" s="1"/>
  <c r="AY50" i="124" s="1"/>
  <c r="H188" i="124"/>
  <c r="I188" i="124" s="1"/>
  <c r="J188" i="124" s="1"/>
  <c r="H180" i="124"/>
  <c r="I180" i="124" s="1"/>
  <c r="J180" i="124" s="1"/>
  <c r="H166" i="124"/>
  <c r="I166" i="124" s="1"/>
  <c r="J166" i="124" s="1"/>
  <c r="H158" i="124"/>
  <c r="I158" i="124" s="1"/>
  <c r="J158" i="124" s="1"/>
  <c r="H150" i="124"/>
  <c r="I150" i="124" s="1"/>
  <c r="J150" i="124" s="1"/>
  <c r="H77" i="124"/>
  <c r="I77" i="124" s="1"/>
  <c r="J77" i="124" s="1"/>
  <c r="H73" i="124"/>
  <c r="I73" i="124" s="1"/>
  <c r="J73" i="124" s="1"/>
  <c r="K243" i="124"/>
  <c r="L243" i="124" s="1"/>
  <c r="AY243" i="124" s="1"/>
  <c r="K187" i="124"/>
  <c r="L187" i="124" s="1"/>
  <c r="AY187" i="124" s="1"/>
  <c r="K183" i="124"/>
  <c r="L183" i="124" s="1"/>
  <c r="AY183" i="124" s="1"/>
  <c r="K165" i="124"/>
  <c r="L165" i="124" s="1"/>
  <c r="AY165" i="124" s="1"/>
  <c r="K157" i="124"/>
  <c r="L157" i="124" s="1"/>
  <c r="AY157" i="124" s="1"/>
  <c r="K149" i="124"/>
  <c r="L149" i="124" s="1"/>
  <c r="AY149" i="124" s="1"/>
  <c r="K80" i="124"/>
  <c r="L80" i="124" s="1"/>
  <c r="AY80" i="124" s="1"/>
  <c r="K72" i="124"/>
  <c r="L72" i="124" s="1"/>
  <c r="AY72" i="124" s="1"/>
  <c r="H243" i="124"/>
  <c r="I243" i="124" s="1"/>
  <c r="J243" i="124" s="1"/>
  <c r="H239" i="124"/>
  <c r="I239" i="124" s="1"/>
  <c r="J239" i="124" s="1"/>
  <c r="H183" i="124"/>
  <c r="I183" i="124" s="1"/>
  <c r="J183" i="124" s="1"/>
  <c r="H165" i="124"/>
  <c r="I165" i="124" s="1"/>
  <c r="J165" i="124" s="1"/>
  <c r="H157" i="124"/>
  <c r="I157" i="124" s="1"/>
  <c r="J157" i="124" s="1"/>
  <c r="H153" i="124"/>
  <c r="I153" i="124" s="1"/>
  <c r="J153" i="124" s="1"/>
  <c r="H80" i="124"/>
  <c r="I80" i="124" s="1"/>
  <c r="J80" i="124" s="1"/>
  <c r="H72" i="124"/>
  <c r="I72" i="124" s="1"/>
  <c r="J72" i="124" s="1"/>
  <c r="K8" i="133"/>
  <c r="L8" i="133" s="1"/>
  <c r="AY8" i="133" s="1"/>
  <c r="K10" i="133"/>
  <c r="L10" i="133" s="1"/>
  <c r="AY10" i="133" s="1"/>
  <c r="K12" i="133"/>
  <c r="L12" i="133" s="1"/>
  <c r="AY12" i="133" s="1"/>
  <c r="K14" i="133"/>
  <c r="L14" i="133" s="1"/>
  <c r="AY14" i="133" s="1"/>
  <c r="K16" i="133"/>
  <c r="L16" i="133" s="1"/>
  <c r="AY16" i="133" s="1"/>
  <c r="K18" i="133"/>
  <c r="L18" i="133" s="1"/>
  <c r="AY18" i="133" s="1"/>
  <c r="K20" i="133"/>
  <c r="L20" i="133" s="1"/>
  <c r="AY20" i="133" s="1"/>
  <c r="K22" i="133"/>
  <c r="L22" i="133" s="1"/>
  <c r="AY22" i="133" s="1"/>
  <c r="K24" i="133"/>
  <c r="L24" i="133" s="1"/>
  <c r="AY24" i="133" s="1"/>
  <c r="H9" i="133"/>
  <c r="I9" i="133" s="1"/>
  <c r="J9" i="133" s="1"/>
  <c r="H50" i="124"/>
  <c r="I50" i="124" s="1"/>
  <c r="J50" i="124" s="1"/>
  <c r="K9" i="133"/>
  <c r="L9" i="133" s="1"/>
  <c r="AY9" i="133" s="1"/>
  <c r="H12" i="133"/>
  <c r="I12" i="133" s="1"/>
  <c r="J12" i="133" s="1"/>
  <c r="H15" i="133"/>
  <c r="I15" i="133" s="1"/>
  <c r="J15" i="133" s="1"/>
  <c r="K17" i="133"/>
  <c r="L17" i="133" s="1"/>
  <c r="AY17" i="133" s="1"/>
  <c r="H20" i="133"/>
  <c r="I20" i="133" s="1"/>
  <c r="J20" i="133" s="1"/>
  <c r="H23" i="133"/>
  <c r="I23" i="133" s="1"/>
  <c r="J23" i="133" s="1"/>
  <c r="K25" i="133"/>
  <c r="L25" i="133" s="1"/>
  <c r="AY25" i="133" s="1"/>
  <c r="K28" i="133"/>
  <c r="L28" i="133" s="1"/>
  <c r="AY28" i="133" s="1"/>
  <c r="K30" i="133"/>
  <c r="L30" i="133" s="1"/>
  <c r="AY30" i="133" s="1"/>
  <c r="H33" i="133"/>
  <c r="I33" i="133" s="1"/>
  <c r="J33" i="133" s="1"/>
  <c r="H35" i="133"/>
  <c r="I35" i="133" s="1"/>
  <c r="J35" i="133" s="1"/>
  <c r="H37" i="133"/>
  <c r="I37" i="133" s="1"/>
  <c r="J37" i="133" s="1"/>
  <c r="H39" i="133"/>
  <c r="I39" i="133" s="1"/>
  <c r="J39" i="133" s="1"/>
  <c r="H41" i="133"/>
  <c r="I41" i="133" s="1"/>
  <c r="J41" i="133" s="1"/>
  <c r="H44" i="133"/>
  <c r="I44" i="133" s="1"/>
  <c r="J44" i="133" s="1"/>
  <c r="H46" i="133"/>
  <c r="I46" i="133" s="1"/>
  <c r="J46" i="133" s="1"/>
  <c r="H48" i="133"/>
  <c r="I48" i="133" s="1"/>
  <c r="J48" i="133" s="1"/>
  <c r="H50" i="133"/>
  <c r="I50" i="133" s="1"/>
  <c r="J50" i="133" s="1"/>
  <c r="H52" i="133"/>
  <c r="I52" i="133" s="1"/>
  <c r="J52" i="133" s="1"/>
  <c r="H54" i="133"/>
  <c r="I54" i="133" s="1"/>
  <c r="J54" i="133" s="1"/>
  <c r="H56" i="133"/>
  <c r="I56" i="133" s="1"/>
  <c r="J56" i="133" s="1"/>
  <c r="H58" i="133"/>
  <c r="I58" i="133" s="1"/>
  <c r="J58" i="133" s="1"/>
  <c r="H60" i="133"/>
  <c r="I60" i="133" s="1"/>
  <c r="J60" i="133" s="1"/>
  <c r="K62" i="133"/>
  <c r="L62" i="133" s="1"/>
  <c r="AY62" i="133" s="1"/>
  <c r="K64" i="133"/>
  <c r="L64" i="133" s="1"/>
  <c r="AY64" i="133" s="1"/>
  <c r="K66" i="133"/>
  <c r="L66" i="133" s="1"/>
  <c r="AY66" i="133" s="1"/>
  <c r="K68" i="133"/>
  <c r="L68" i="133" s="1"/>
  <c r="AY68" i="133" s="1"/>
  <c r="K70" i="133"/>
  <c r="L70" i="133" s="1"/>
  <c r="AY70" i="133" s="1"/>
  <c r="K72" i="133"/>
  <c r="L72" i="133" s="1"/>
  <c r="AY72" i="133" s="1"/>
  <c r="K74" i="133"/>
  <c r="L74" i="133" s="1"/>
  <c r="AY74" i="133" s="1"/>
  <c r="K76" i="133"/>
  <c r="L76" i="133" s="1"/>
  <c r="AY76" i="133" s="1"/>
  <c r="H10" i="133"/>
  <c r="I10" i="133" s="1"/>
  <c r="J10" i="133" s="1"/>
  <c r="H13" i="133"/>
  <c r="I13" i="133" s="1"/>
  <c r="J13" i="133" s="1"/>
  <c r="K15" i="133"/>
  <c r="L15" i="133" s="1"/>
  <c r="AY15" i="133" s="1"/>
  <c r="H18" i="133"/>
  <c r="I18" i="133" s="1"/>
  <c r="J18" i="133" s="1"/>
  <c r="H21" i="133"/>
  <c r="I21" i="133" s="1"/>
  <c r="J21" i="133" s="1"/>
  <c r="K23" i="133"/>
  <c r="L23" i="133" s="1"/>
  <c r="AY23" i="133" s="1"/>
  <c r="H26" i="133"/>
  <c r="I26" i="133" s="1"/>
  <c r="J26" i="133" s="1"/>
  <c r="H29" i="133"/>
  <c r="I29" i="133" s="1"/>
  <c r="J29" i="133" s="1"/>
  <c r="H31" i="133"/>
  <c r="I31" i="133" s="1"/>
  <c r="J31" i="133" s="1"/>
  <c r="K33" i="133"/>
  <c r="L33" i="133" s="1"/>
  <c r="AY33" i="133" s="1"/>
  <c r="K35" i="133"/>
  <c r="L35" i="133" s="1"/>
  <c r="AY35" i="133" s="1"/>
  <c r="K37" i="133"/>
  <c r="L37" i="133" s="1"/>
  <c r="AY37" i="133" s="1"/>
  <c r="K39" i="133"/>
  <c r="L39" i="133" s="1"/>
  <c r="AY39" i="133" s="1"/>
  <c r="H42" i="133"/>
  <c r="I42" i="133" s="1"/>
  <c r="J42" i="133" s="1"/>
  <c r="K44" i="133"/>
  <c r="L44" i="133" s="1"/>
  <c r="AY44" i="133" s="1"/>
  <c r="K46" i="133"/>
  <c r="L46" i="133" s="1"/>
  <c r="AY46" i="133" s="1"/>
  <c r="K48" i="133"/>
  <c r="L48" i="133" s="1"/>
  <c r="AY48" i="133" s="1"/>
  <c r="K50" i="133"/>
  <c r="L50" i="133" s="1"/>
  <c r="AY50" i="133" s="1"/>
  <c r="K52" i="133"/>
  <c r="L52" i="133" s="1"/>
  <c r="AY52" i="133" s="1"/>
  <c r="K54" i="133"/>
  <c r="L54" i="133" s="1"/>
  <c r="AY54" i="133" s="1"/>
  <c r="K56" i="133"/>
  <c r="L56" i="133" s="1"/>
  <c r="AY56" i="133" s="1"/>
  <c r="K58" i="133"/>
  <c r="L58" i="133" s="1"/>
  <c r="AY58" i="133" s="1"/>
  <c r="H61" i="133"/>
  <c r="I61" i="133" s="1"/>
  <c r="J61" i="133" s="1"/>
  <c r="H63" i="133"/>
  <c r="I63" i="133" s="1"/>
  <c r="J63" i="133" s="1"/>
  <c r="H65" i="133"/>
  <c r="I65" i="133" s="1"/>
  <c r="J65" i="133" s="1"/>
  <c r="H67" i="133"/>
  <c r="I67" i="133" s="1"/>
  <c r="J67" i="133" s="1"/>
  <c r="H69" i="133"/>
  <c r="I69" i="133" s="1"/>
  <c r="J69" i="133" s="1"/>
  <c r="H71" i="133"/>
  <c r="I71" i="133" s="1"/>
  <c r="J71" i="133" s="1"/>
  <c r="H73" i="133"/>
  <c r="I73" i="133" s="1"/>
  <c r="J73" i="133" s="1"/>
  <c r="H75" i="133"/>
  <c r="I75" i="133" s="1"/>
  <c r="J75" i="133" s="1"/>
  <c r="H74" i="133"/>
  <c r="I74" i="133" s="1"/>
  <c r="J74" i="133" s="1"/>
  <c r="H70" i="133"/>
  <c r="I70" i="133" s="1"/>
  <c r="J70" i="133" s="1"/>
  <c r="H66" i="133"/>
  <c r="I66" i="133" s="1"/>
  <c r="J66" i="133" s="1"/>
  <c r="H62" i="133"/>
  <c r="I62" i="133" s="1"/>
  <c r="J62" i="133" s="1"/>
  <c r="K57" i="133"/>
  <c r="L57" i="133" s="1"/>
  <c r="AY57" i="133" s="1"/>
  <c r="K53" i="133"/>
  <c r="L53" i="133" s="1"/>
  <c r="AY53" i="133" s="1"/>
  <c r="K49" i="133"/>
  <c r="L49" i="133" s="1"/>
  <c r="AY49" i="133" s="1"/>
  <c r="K45" i="133"/>
  <c r="L45" i="133" s="1"/>
  <c r="AY45" i="133" s="1"/>
  <c r="K40" i="133"/>
  <c r="L40" i="133" s="1"/>
  <c r="AY40" i="133" s="1"/>
  <c r="K36" i="133"/>
  <c r="L36" i="133" s="1"/>
  <c r="AY36" i="133" s="1"/>
  <c r="K32" i="133"/>
  <c r="L32" i="133" s="1"/>
  <c r="AY32" i="133" s="1"/>
  <c r="H28" i="133"/>
  <c r="I28" i="133" s="1"/>
  <c r="J28" i="133" s="1"/>
  <c r="H22" i="133"/>
  <c r="I22" i="133" s="1"/>
  <c r="J22" i="133" s="1"/>
  <c r="H17" i="133"/>
  <c r="I17" i="133" s="1"/>
  <c r="J17" i="133" s="1"/>
  <c r="K11" i="133"/>
  <c r="L11" i="133" s="1"/>
  <c r="AY11" i="133" s="1"/>
  <c r="K73" i="133"/>
  <c r="L73" i="133" s="1"/>
  <c r="AY73" i="133" s="1"/>
  <c r="K69" i="133"/>
  <c r="L69" i="133" s="1"/>
  <c r="AY69" i="133" s="1"/>
  <c r="K65" i="133"/>
  <c r="L65" i="133" s="1"/>
  <c r="AY65" i="133" s="1"/>
  <c r="K61" i="133"/>
  <c r="L61" i="133" s="1"/>
  <c r="AY61" i="133" s="1"/>
  <c r="H57" i="133"/>
  <c r="I57" i="133" s="1"/>
  <c r="J57" i="133" s="1"/>
  <c r="H53" i="133"/>
  <c r="I53" i="133" s="1"/>
  <c r="J53" i="133" s="1"/>
  <c r="H49" i="133"/>
  <c r="I49" i="133" s="1"/>
  <c r="J49" i="133" s="1"/>
  <c r="H45" i="133"/>
  <c r="I45" i="133" s="1"/>
  <c r="J45" i="133" s="1"/>
  <c r="H40" i="133"/>
  <c r="I40" i="133" s="1"/>
  <c r="J40" i="133" s="1"/>
  <c r="H36" i="133"/>
  <c r="I36" i="133" s="1"/>
  <c r="J36" i="133" s="1"/>
  <c r="H32" i="133"/>
  <c r="I32" i="133" s="1"/>
  <c r="J32" i="133" s="1"/>
  <c r="H27" i="133"/>
  <c r="I27" i="133" s="1"/>
  <c r="J27" i="133" s="1"/>
  <c r="K21" i="133"/>
  <c r="L21" i="133" s="1"/>
  <c r="AY21" i="133" s="1"/>
  <c r="H16" i="133"/>
  <c r="I16" i="133" s="1"/>
  <c r="J16" i="133" s="1"/>
  <c r="H11" i="133"/>
  <c r="I11" i="133" s="1"/>
  <c r="J11" i="133" s="1"/>
  <c r="K31" i="133"/>
  <c r="L31" i="133" s="1"/>
  <c r="AY31" i="133" s="1"/>
  <c r="H76" i="133"/>
  <c r="I76" i="133" s="1"/>
  <c r="J76" i="133" s="1"/>
  <c r="H72" i="133"/>
  <c r="I72" i="133" s="1"/>
  <c r="J72" i="133" s="1"/>
  <c r="H68" i="133"/>
  <c r="I68" i="133" s="1"/>
  <c r="J68" i="133" s="1"/>
  <c r="H64" i="133"/>
  <c r="I64" i="133" s="1"/>
  <c r="J64" i="133" s="1"/>
  <c r="K59" i="133"/>
  <c r="L59" i="133" s="1"/>
  <c r="AY59" i="133" s="1"/>
  <c r="K55" i="133"/>
  <c r="L55" i="133" s="1"/>
  <c r="AY55" i="133" s="1"/>
  <c r="K51" i="133"/>
  <c r="L51" i="133" s="1"/>
  <c r="AY51" i="133" s="1"/>
  <c r="K47" i="133"/>
  <c r="L47" i="133" s="1"/>
  <c r="AY47" i="133" s="1"/>
  <c r="K43" i="133"/>
  <c r="L43" i="133" s="1"/>
  <c r="AY43" i="133" s="1"/>
  <c r="K38" i="133"/>
  <c r="L38" i="133" s="1"/>
  <c r="AY38" i="133" s="1"/>
  <c r="K34" i="133"/>
  <c r="L34" i="133" s="1"/>
  <c r="AY34" i="133" s="1"/>
  <c r="H30" i="133"/>
  <c r="I30" i="133" s="1"/>
  <c r="J30" i="133" s="1"/>
  <c r="H25" i="133"/>
  <c r="I25" i="133" s="1"/>
  <c r="J25" i="133" s="1"/>
  <c r="K19" i="133"/>
  <c r="L19" i="133" s="1"/>
  <c r="AY19" i="133" s="1"/>
  <c r="H14" i="133"/>
  <c r="I14" i="133" s="1"/>
  <c r="J14" i="133" s="1"/>
  <c r="H8" i="133"/>
  <c r="I8" i="133" s="1"/>
  <c r="J8" i="133" s="1"/>
  <c r="H8" i="124"/>
  <c r="K249" i="124"/>
  <c r="L249" i="124" s="1"/>
  <c r="AY249" i="124" s="1"/>
  <c r="K238" i="124"/>
  <c r="L238" i="124" s="1"/>
  <c r="AY238" i="124" s="1"/>
  <c r="K234" i="124"/>
  <c r="L234" i="124" s="1"/>
  <c r="AY234" i="124" s="1"/>
  <c r="K228" i="124"/>
  <c r="L228" i="124" s="1"/>
  <c r="AY228" i="124" s="1"/>
  <c r="K224" i="124"/>
  <c r="L224" i="124" s="1"/>
  <c r="AY224" i="124" s="1"/>
  <c r="K220" i="124"/>
  <c r="L220" i="124" s="1"/>
  <c r="AY220" i="124" s="1"/>
  <c r="K216" i="124"/>
  <c r="L216" i="124" s="1"/>
  <c r="AY216" i="124" s="1"/>
  <c r="K212" i="124"/>
  <c r="L212" i="124" s="1"/>
  <c r="AY212" i="124" s="1"/>
  <c r="K208" i="124"/>
  <c r="L208" i="124" s="1"/>
  <c r="AY208" i="124" s="1"/>
  <c r="K204" i="124"/>
  <c r="L204" i="124" s="1"/>
  <c r="AY204" i="124" s="1"/>
  <c r="K200" i="124"/>
  <c r="L200" i="124" s="1"/>
  <c r="AY200" i="124" s="1"/>
  <c r="K196" i="124"/>
  <c r="L196" i="124" s="1"/>
  <c r="AY196" i="124" s="1"/>
  <c r="K192" i="124"/>
  <c r="L192" i="124" s="1"/>
  <c r="AY192" i="124" s="1"/>
  <c r="K175" i="124"/>
  <c r="L175" i="124" s="1"/>
  <c r="AY175" i="124" s="1"/>
  <c r="K171" i="124"/>
  <c r="L171" i="124" s="1"/>
  <c r="AY171" i="124" s="1"/>
  <c r="K148" i="124"/>
  <c r="L148" i="124" s="1"/>
  <c r="AY148" i="124" s="1"/>
  <c r="K144" i="124"/>
  <c r="L144" i="124" s="1"/>
  <c r="AY144" i="124" s="1"/>
  <c r="K140" i="124"/>
  <c r="L140" i="124" s="1"/>
  <c r="AY140" i="124" s="1"/>
  <c r="K136" i="124"/>
  <c r="L136" i="124" s="1"/>
  <c r="AY136" i="124" s="1"/>
  <c r="K132" i="124"/>
  <c r="L132" i="124" s="1"/>
  <c r="AY132" i="124" s="1"/>
  <c r="K128" i="124"/>
  <c r="L128" i="124" s="1"/>
  <c r="AY128" i="124" s="1"/>
  <c r="K124" i="124"/>
  <c r="L124" i="124" s="1"/>
  <c r="AY124" i="124" s="1"/>
  <c r="K120" i="124"/>
  <c r="L120" i="124" s="1"/>
  <c r="AY120" i="124" s="1"/>
  <c r="K116" i="124"/>
  <c r="L116" i="124" s="1"/>
  <c r="AY116" i="124" s="1"/>
  <c r="K112" i="124"/>
  <c r="L112" i="124" s="1"/>
  <c r="AY112" i="124" s="1"/>
  <c r="K108" i="124"/>
  <c r="L108" i="124" s="1"/>
  <c r="AY108" i="124" s="1"/>
  <c r="K104" i="124"/>
  <c r="L104" i="124" s="1"/>
  <c r="AY104" i="124" s="1"/>
  <c r="K100" i="124"/>
  <c r="L100" i="124" s="1"/>
  <c r="AY100" i="124" s="1"/>
  <c r="K96" i="124"/>
  <c r="L96" i="124" s="1"/>
  <c r="AY96" i="124" s="1"/>
  <c r="K92" i="124"/>
  <c r="L92" i="124" s="1"/>
  <c r="AY92" i="124" s="1"/>
  <c r="K88" i="124"/>
  <c r="L88" i="124" s="1"/>
  <c r="AY88" i="124" s="1"/>
  <c r="K84" i="124"/>
  <c r="L84" i="124" s="1"/>
  <c r="AY84" i="124" s="1"/>
  <c r="K68" i="124"/>
  <c r="L68" i="124" s="1"/>
  <c r="AY68" i="124" s="1"/>
  <c r="K64" i="124"/>
  <c r="L64" i="124" s="1"/>
  <c r="AY64" i="124" s="1"/>
  <c r="K60" i="124"/>
  <c r="L60" i="124" s="1"/>
  <c r="AY60" i="124" s="1"/>
  <c r="K49" i="124"/>
  <c r="L49" i="124" s="1"/>
  <c r="AY49" i="124" s="1"/>
  <c r="K45" i="124"/>
  <c r="L45" i="124" s="1"/>
  <c r="AY45" i="124" s="1"/>
  <c r="K41" i="124"/>
  <c r="L41" i="124" s="1"/>
  <c r="AY41" i="124" s="1"/>
  <c r="K37" i="124"/>
  <c r="L37" i="124" s="1"/>
  <c r="AY37" i="124" s="1"/>
  <c r="K33" i="124"/>
  <c r="L33" i="124" s="1"/>
  <c r="AY33" i="124" s="1"/>
  <c r="K29" i="124"/>
  <c r="L29" i="124" s="1"/>
  <c r="AY29" i="124" s="1"/>
  <c r="K25" i="124"/>
  <c r="L25" i="124" s="1"/>
  <c r="AY25" i="124" s="1"/>
  <c r="K21" i="124"/>
  <c r="L21" i="124" s="1"/>
  <c r="AY21" i="124" s="1"/>
  <c r="K17" i="124"/>
  <c r="L17" i="124" s="1"/>
  <c r="AY17" i="124" s="1"/>
  <c r="K13" i="124"/>
  <c r="L13" i="124" s="1"/>
  <c r="AY13" i="124" s="1"/>
  <c r="K9" i="124"/>
  <c r="L9" i="124" s="1"/>
  <c r="AY9" i="124" s="1"/>
  <c r="H248" i="124"/>
  <c r="I248" i="124" s="1"/>
  <c r="J248" i="124" s="1"/>
  <c r="H244" i="124"/>
  <c r="I244" i="124" s="1"/>
  <c r="J244" i="124" s="1"/>
  <c r="H235" i="124"/>
  <c r="I235" i="124" s="1"/>
  <c r="J235" i="124" s="1"/>
  <c r="H231" i="124"/>
  <c r="I231" i="124" s="1"/>
  <c r="J231" i="124" s="1"/>
  <c r="H227" i="124"/>
  <c r="I227" i="124" s="1"/>
  <c r="J227" i="124" s="1"/>
  <c r="H223" i="124"/>
  <c r="I223" i="124" s="1"/>
  <c r="J223" i="124" s="1"/>
  <c r="H219" i="124"/>
  <c r="H215" i="124"/>
  <c r="H211" i="124"/>
  <c r="H207" i="124"/>
  <c r="H203" i="124"/>
  <c r="H199" i="124"/>
  <c r="H195" i="124"/>
  <c r="I195" i="124" s="1"/>
  <c r="J195" i="124" s="1"/>
  <c r="H191" i="124"/>
  <c r="H174" i="124"/>
  <c r="H170" i="124"/>
  <c r="H147" i="124"/>
  <c r="H143" i="124"/>
  <c r="H139" i="124"/>
  <c r="H135" i="124"/>
  <c r="H131" i="124"/>
  <c r="H127" i="124"/>
  <c r="H123" i="124"/>
  <c r="H119" i="124"/>
  <c r="H115" i="124"/>
  <c r="H111" i="124"/>
  <c r="I111" i="124" s="1"/>
  <c r="J111" i="124" s="1"/>
  <c r="H107" i="124"/>
  <c r="H103" i="124"/>
  <c r="H99" i="124"/>
  <c r="H95" i="124"/>
  <c r="I95" i="124" s="1"/>
  <c r="J95" i="124" s="1"/>
  <c r="H91" i="124"/>
  <c r="I91" i="124" s="1"/>
  <c r="J91" i="124" s="1"/>
  <c r="H87" i="124"/>
  <c r="H71" i="124"/>
  <c r="H67" i="124"/>
  <c r="H63" i="124"/>
  <c r="H59" i="124"/>
  <c r="H48" i="124"/>
  <c r="I48" i="124" s="1"/>
  <c r="J48" i="124" s="1"/>
  <c r="H44" i="124"/>
  <c r="H40" i="124"/>
  <c r="K248" i="124"/>
  <c r="L248" i="124" s="1"/>
  <c r="AY248" i="124" s="1"/>
  <c r="K237" i="124"/>
  <c r="L237" i="124" s="1"/>
  <c r="AY237" i="124" s="1"/>
  <c r="K233" i="124"/>
  <c r="L233" i="124" s="1"/>
  <c r="AY233" i="124" s="1"/>
  <c r="K227" i="124"/>
  <c r="L227" i="124" s="1"/>
  <c r="AY227" i="124" s="1"/>
  <c r="K223" i="124"/>
  <c r="L223" i="124" s="1"/>
  <c r="AY223" i="124" s="1"/>
  <c r="K219" i="124"/>
  <c r="L219" i="124" s="1"/>
  <c r="AY219" i="124" s="1"/>
  <c r="K215" i="124"/>
  <c r="L215" i="124" s="1"/>
  <c r="AY215" i="124" s="1"/>
  <c r="K211" i="124"/>
  <c r="L211" i="124" s="1"/>
  <c r="AY211" i="124" s="1"/>
  <c r="K207" i="124"/>
  <c r="L207" i="124" s="1"/>
  <c r="AY207" i="124" s="1"/>
  <c r="K203" i="124"/>
  <c r="L203" i="124" s="1"/>
  <c r="AY203" i="124" s="1"/>
  <c r="K199" i="124"/>
  <c r="L199" i="124" s="1"/>
  <c r="AY199" i="124" s="1"/>
  <c r="K195" i="124"/>
  <c r="L195" i="124" s="1"/>
  <c r="AY195" i="124" s="1"/>
  <c r="K191" i="124"/>
  <c r="L191" i="124" s="1"/>
  <c r="AY191" i="124" s="1"/>
  <c r="K174" i="124"/>
  <c r="L174" i="124" s="1"/>
  <c r="AY174" i="124" s="1"/>
  <c r="K170" i="124"/>
  <c r="L170" i="124" s="1"/>
  <c r="AY170" i="124" s="1"/>
  <c r="K147" i="124"/>
  <c r="L147" i="124" s="1"/>
  <c r="AY147" i="124" s="1"/>
  <c r="K143" i="124"/>
  <c r="L143" i="124" s="1"/>
  <c r="AY143" i="124" s="1"/>
  <c r="K139" i="124"/>
  <c r="L139" i="124" s="1"/>
  <c r="AY139" i="124" s="1"/>
  <c r="K135" i="124"/>
  <c r="L135" i="124" s="1"/>
  <c r="AY135" i="124" s="1"/>
  <c r="K131" i="124"/>
  <c r="L131" i="124" s="1"/>
  <c r="AY131" i="124" s="1"/>
  <c r="K127" i="124"/>
  <c r="L127" i="124" s="1"/>
  <c r="AY127" i="124" s="1"/>
  <c r="K123" i="124"/>
  <c r="L123" i="124" s="1"/>
  <c r="AY123" i="124" s="1"/>
  <c r="K119" i="124"/>
  <c r="L119" i="124" s="1"/>
  <c r="AY119" i="124" s="1"/>
  <c r="K115" i="124"/>
  <c r="L115" i="124" s="1"/>
  <c r="AY115" i="124" s="1"/>
  <c r="K111" i="124"/>
  <c r="L111" i="124" s="1"/>
  <c r="AY111" i="124" s="1"/>
  <c r="K107" i="124"/>
  <c r="L107" i="124" s="1"/>
  <c r="AY107" i="124" s="1"/>
  <c r="K103" i="124"/>
  <c r="L103" i="124" s="1"/>
  <c r="AY103" i="124" s="1"/>
  <c r="K99" i="124"/>
  <c r="L99" i="124" s="1"/>
  <c r="AY99" i="124" s="1"/>
  <c r="K95" i="124"/>
  <c r="L95" i="124" s="1"/>
  <c r="AY95" i="124" s="1"/>
  <c r="K91" i="124"/>
  <c r="L91" i="124" s="1"/>
  <c r="AY91" i="124" s="1"/>
  <c r="K87" i="124"/>
  <c r="L87" i="124" s="1"/>
  <c r="AY87" i="124" s="1"/>
  <c r="K71" i="124"/>
  <c r="L71" i="124" s="1"/>
  <c r="AY71" i="124" s="1"/>
  <c r="K67" i="124"/>
  <c r="L67" i="124" s="1"/>
  <c r="AY67" i="124" s="1"/>
  <c r="K63" i="124"/>
  <c r="L63" i="124" s="1"/>
  <c r="AY63" i="124" s="1"/>
  <c r="K59" i="124"/>
  <c r="L59" i="124" s="1"/>
  <c r="AY59" i="124" s="1"/>
  <c r="K48" i="124"/>
  <c r="L48" i="124" s="1"/>
  <c r="AY48" i="124" s="1"/>
  <c r="K44" i="124"/>
  <c r="L44" i="124" s="1"/>
  <c r="AY44" i="124" s="1"/>
  <c r="K40" i="124"/>
  <c r="L40" i="124" s="1"/>
  <c r="AY40" i="124" s="1"/>
  <c r="K36" i="124"/>
  <c r="L36" i="124" s="1"/>
  <c r="AY36" i="124" s="1"/>
  <c r="K32" i="124"/>
  <c r="L32" i="124" s="1"/>
  <c r="AY32" i="124" s="1"/>
  <c r="K28" i="124"/>
  <c r="L28" i="124" s="1"/>
  <c r="AY28" i="124" s="1"/>
  <c r="K24" i="124"/>
  <c r="L24" i="124" s="1"/>
  <c r="AY24" i="124" s="1"/>
  <c r="K20" i="124"/>
  <c r="L20" i="124" s="1"/>
  <c r="AY20" i="124" s="1"/>
  <c r="K16" i="124"/>
  <c r="L16" i="124" s="1"/>
  <c r="AY16" i="124" s="1"/>
  <c r="K12" i="124"/>
  <c r="L12" i="124" s="1"/>
  <c r="AY12" i="124" s="1"/>
  <c r="H251" i="124"/>
  <c r="I251" i="124" s="1"/>
  <c r="J251" i="124" s="1"/>
  <c r="H247" i="124"/>
  <c r="I247" i="124" s="1"/>
  <c r="J247" i="124" s="1"/>
  <c r="H238" i="124"/>
  <c r="I238" i="124" s="1"/>
  <c r="J238" i="124" s="1"/>
  <c r="H234" i="124"/>
  <c r="I234" i="124" s="1"/>
  <c r="J234" i="124" s="1"/>
  <c r="H230" i="124"/>
  <c r="I230" i="124" s="1"/>
  <c r="J230" i="124" s="1"/>
  <c r="H226" i="124"/>
  <c r="I226" i="124" s="1"/>
  <c r="J226" i="124" s="1"/>
  <c r="H222" i="124"/>
  <c r="I222" i="124" s="1"/>
  <c r="J222" i="124" s="1"/>
  <c r="H218" i="124"/>
  <c r="H214" i="124"/>
  <c r="H210" i="124"/>
  <c r="H206" i="124"/>
  <c r="H202" i="124"/>
  <c r="H198" i="124"/>
  <c r="I198" i="124" s="1"/>
  <c r="J198" i="124" s="1"/>
  <c r="H194" i="124"/>
  <c r="I194" i="124" s="1"/>
  <c r="J194" i="124" s="1"/>
  <c r="H177" i="124"/>
  <c r="H173" i="124"/>
  <c r="H169" i="124"/>
  <c r="H146" i="124"/>
  <c r="H142" i="124"/>
  <c r="I142" i="124" s="1"/>
  <c r="J142" i="124" s="1"/>
  <c r="H138" i="124"/>
  <c r="H134" i="124"/>
  <c r="H130" i="124"/>
  <c r="H126" i="124"/>
  <c r="H122" i="124"/>
  <c r="I122" i="124" s="1"/>
  <c r="J122" i="124" s="1"/>
  <c r="H118" i="124"/>
  <c r="H114" i="124"/>
  <c r="H110" i="124"/>
  <c r="I110" i="124" s="1"/>
  <c r="J110" i="124" s="1"/>
  <c r="H106" i="124"/>
  <c r="H102" i="124"/>
  <c r="H98" i="124"/>
  <c r="H94" i="124"/>
  <c r="H90" i="124"/>
  <c r="I90" i="124" s="1"/>
  <c r="J90" i="124" s="1"/>
  <c r="H86" i="124"/>
  <c r="H70" i="124"/>
  <c r="H66" i="124"/>
  <c r="H62" i="124"/>
  <c r="H58" i="124"/>
  <c r="H47" i="124"/>
  <c r="I47" i="124" s="1"/>
  <c r="J47" i="124" s="1"/>
  <c r="H43" i="124"/>
  <c r="H39" i="124"/>
  <c r="K246" i="124"/>
  <c r="L246" i="124" s="1"/>
  <c r="AY246" i="124" s="1"/>
  <c r="K236" i="124"/>
  <c r="L236" i="124" s="1"/>
  <c r="AY236" i="124" s="1"/>
  <c r="K231" i="124"/>
  <c r="L231" i="124" s="1"/>
  <c r="AY231" i="124" s="1"/>
  <c r="K226" i="124"/>
  <c r="L226" i="124" s="1"/>
  <c r="AY226" i="124" s="1"/>
  <c r="K222" i="124"/>
  <c r="L222" i="124" s="1"/>
  <c r="AY222" i="124" s="1"/>
  <c r="K214" i="124"/>
  <c r="L214" i="124" s="1"/>
  <c r="AY214" i="124" s="1"/>
  <c r="K210" i="124"/>
  <c r="L210" i="124" s="1"/>
  <c r="AY210" i="124" s="1"/>
  <c r="K206" i="124"/>
  <c r="L206" i="124" s="1"/>
  <c r="AY206" i="124" s="1"/>
  <c r="K202" i="124"/>
  <c r="L202" i="124" s="1"/>
  <c r="AY202" i="124" s="1"/>
  <c r="K198" i="124"/>
  <c r="L198" i="124" s="1"/>
  <c r="AY198" i="124" s="1"/>
  <c r="K194" i="124"/>
  <c r="L194" i="124" s="1"/>
  <c r="AY194" i="124" s="1"/>
  <c r="K177" i="124"/>
  <c r="L177" i="124" s="1"/>
  <c r="AY177" i="124" s="1"/>
  <c r="K173" i="124"/>
  <c r="L173" i="124" s="1"/>
  <c r="AY173" i="124" s="1"/>
  <c r="K169" i="124"/>
  <c r="L169" i="124" s="1"/>
  <c r="AY169" i="124" s="1"/>
  <c r="K146" i="124"/>
  <c r="L146" i="124" s="1"/>
  <c r="AY146" i="124" s="1"/>
  <c r="K142" i="124"/>
  <c r="L142" i="124" s="1"/>
  <c r="AY142" i="124" s="1"/>
  <c r="K138" i="124"/>
  <c r="L138" i="124" s="1"/>
  <c r="AY138" i="124" s="1"/>
  <c r="K134" i="124"/>
  <c r="L134" i="124" s="1"/>
  <c r="AY134" i="124" s="1"/>
  <c r="K130" i="124"/>
  <c r="L130" i="124" s="1"/>
  <c r="AY130" i="124" s="1"/>
  <c r="K126" i="124"/>
  <c r="L126" i="124" s="1"/>
  <c r="AY126" i="124" s="1"/>
  <c r="K122" i="124"/>
  <c r="L122" i="124" s="1"/>
  <c r="AY122" i="124" s="1"/>
  <c r="K118" i="124"/>
  <c r="L118" i="124" s="1"/>
  <c r="AY118" i="124" s="1"/>
  <c r="K114" i="124"/>
  <c r="L114" i="124" s="1"/>
  <c r="AY114" i="124" s="1"/>
  <c r="K110" i="124"/>
  <c r="L110" i="124" s="1"/>
  <c r="AY110" i="124" s="1"/>
  <c r="K106" i="124"/>
  <c r="L106" i="124" s="1"/>
  <c r="AY106" i="124" s="1"/>
  <c r="K102" i="124"/>
  <c r="L102" i="124" s="1"/>
  <c r="AY102" i="124" s="1"/>
  <c r="K98" i="124"/>
  <c r="L98" i="124" s="1"/>
  <c r="AY98" i="124" s="1"/>
  <c r="K94" i="124"/>
  <c r="L94" i="124" s="1"/>
  <c r="AY94" i="124" s="1"/>
  <c r="K90" i="124"/>
  <c r="L90" i="124" s="1"/>
  <c r="AY90" i="124" s="1"/>
  <c r="K86" i="124"/>
  <c r="L86" i="124" s="1"/>
  <c r="AY86" i="124" s="1"/>
  <c r="K70" i="124"/>
  <c r="L70" i="124" s="1"/>
  <c r="AY70" i="124" s="1"/>
  <c r="K66" i="124"/>
  <c r="L66" i="124" s="1"/>
  <c r="AY66" i="124" s="1"/>
  <c r="K62" i="124"/>
  <c r="L62" i="124" s="1"/>
  <c r="AY62" i="124" s="1"/>
  <c r="K58" i="124"/>
  <c r="L58" i="124" s="1"/>
  <c r="AY58" i="124" s="1"/>
  <c r="K47" i="124"/>
  <c r="L47" i="124" s="1"/>
  <c r="AY47" i="124" s="1"/>
  <c r="K43" i="124"/>
  <c r="L43" i="124" s="1"/>
  <c r="AY43" i="124" s="1"/>
  <c r="K39" i="124"/>
  <c r="L39" i="124" s="1"/>
  <c r="AY39" i="124" s="1"/>
  <c r="K35" i="124"/>
  <c r="L35" i="124" s="1"/>
  <c r="AY35" i="124" s="1"/>
  <c r="K31" i="124"/>
  <c r="L31" i="124" s="1"/>
  <c r="AY31" i="124" s="1"/>
  <c r="K27" i="124"/>
  <c r="L27" i="124" s="1"/>
  <c r="AY27" i="124" s="1"/>
  <c r="K23" i="124"/>
  <c r="L23" i="124" s="1"/>
  <c r="AY23" i="124" s="1"/>
  <c r="K19" i="124"/>
  <c r="L19" i="124" s="1"/>
  <c r="AY19" i="124" s="1"/>
  <c r="K15" i="124"/>
  <c r="L15" i="124" s="1"/>
  <c r="AY15" i="124" s="1"/>
  <c r="K11" i="124"/>
  <c r="L11" i="124" s="1"/>
  <c r="AY11" i="124" s="1"/>
  <c r="H250" i="124"/>
  <c r="I250" i="124" s="1"/>
  <c r="J250" i="124" s="1"/>
  <c r="H246" i="124"/>
  <c r="I246" i="124" s="1"/>
  <c r="J246" i="124" s="1"/>
  <c r="H237" i="124"/>
  <c r="I237" i="124" s="1"/>
  <c r="J237" i="124" s="1"/>
  <c r="H233" i="124"/>
  <c r="I233" i="124" s="1"/>
  <c r="J233" i="124" s="1"/>
  <c r="H229" i="124"/>
  <c r="I229" i="124" s="1"/>
  <c r="J229" i="124" s="1"/>
  <c r="H225" i="124"/>
  <c r="H221" i="124"/>
  <c r="H217" i="124"/>
  <c r="H213" i="124"/>
  <c r="H209" i="124"/>
  <c r="H205" i="124"/>
  <c r="H201" i="124"/>
  <c r="I201" i="124" s="1"/>
  <c r="J201" i="124" s="1"/>
  <c r="H197" i="124"/>
  <c r="I197" i="124" s="1"/>
  <c r="J197" i="124" s="1"/>
  <c r="H193" i="124"/>
  <c r="H176" i="124"/>
  <c r="H172" i="124"/>
  <c r="H168" i="124"/>
  <c r="H145" i="124"/>
  <c r="H141" i="124"/>
  <c r="H137" i="124"/>
  <c r="H133" i="124"/>
  <c r="H129" i="124"/>
  <c r="H125" i="124"/>
  <c r="H121" i="124"/>
  <c r="H117" i="124"/>
  <c r="H113" i="124"/>
  <c r="H109" i="124"/>
  <c r="H105" i="124"/>
  <c r="H101" i="124"/>
  <c r="H97" i="124"/>
  <c r="H93" i="124"/>
  <c r="I93" i="124" s="1"/>
  <c r="J93" i="124" s="1"/>
  <c r="H89" i="124"/>
  <c r="H85" i="124"/>
  <c r="H69" i="124"/>
  <c r="H65" i="124"/>
  <c r="H61" i="124"/>
  <c r="H57" i="124"/>
  <c r="I57" i="124" s="1"/>
  <c r="J57" i="124" s="1"/>
  <c r="H46" i="124"/>
  <c r="H42" i="124"/>
  <c r="K244" i="124"/>
  <c r="L244" i="124" s="1"/>
  <c r="AY244" i="124" s="1"/>
  <c r="K221" i="124"/>
  <c r="L221" i="124" s="1"/>
  <c r="AY221" i="124" s="1"/>
  <c r="K205" i="124"/>
  <c r="L205" i="124" s="1"/>
  <c r="AY205" i="124" s="1"/>
  <c r="K176" i="124"/>
  <c r="L176" i="124" s="1"/>
  <c r="AY176" i="124" s="1"/>
  <c r="K141" i="124"/>
  <c r="L141" i="124" s="1"/>
  <c r="AY141" i="124" s="1"/>
  <c r="K125" i="124"/>
  <c r="L125" i="124" s="1"/>
  <c r="AY125" i="124" s="1"/>
  <c r="K109" i="124"/>
  <c r="L109" i="124" s="1"/>
  <c r="AY109" i="124" s="1"/>
  <c r="K93" i="124"/>
  <c r="L93" i="124" s="1"/>
  <c r="AY93" i="124" s="1"/>
  <c r="K65" i="124"/>
  <c r="L65" i="124" s="1"/>
  <c r="AY65" i="124" s="1"/>
  <c r="K42" i="124"/>
  <c r="L42" i="124" s="1"/>
  <c r="AY42" i="124" s="1"/>
  <c r="K26" i="124"/>
  <c r="L26" i="124" s="1"/>
  <c r="AY26" i="124" s="1"/>
  <c r="K10" i="124"/>
  <c r="L10" i="124" s="1"/>
  <c r="AY10" i="124" s="1"/>
  <c r="H232" i="124"/>
  <c r="I232" i="124" s="1"/>
  <c r="J232" i="124" s="1"/>
  <c r="H216" i="124"/>
  <c r="H200" i="124"/>
  <c r="I200" i="124" s="1"/>
  <c r="J200" i="124" s="1"/>
  <c r="H171" i="124"/>
  <c r="H136" i="124"/>
  <c r="H120" i="124"/>
  <c r="H104" i="124"/>
  <c r="H88" i="124"/>
  <c r="H60" i="124"/>
  <c r="H38" i="124"/>
  <c r="I38" i="124" s="1"/>
  <c r="J38" i="124" s="1"/>
  <c r="H34" i="124"/>
  <c r="H30" i="124"/>
  <c r="H26" i="124"/>
  <c r="H22" i="124"/>
  <c r="I22" i="124" s="1"/>
  <c r="J22" i="124" s="1"/>
  <c r="H18" i="124"/>
  <c r="H14" i="124"/>
  <c r="H10" i="124"/>
  <c r="K209" i="124"/>
  <c r="L209" i="124" s="1"/>
  <c r="AY209" i="124" s="1"/>
  <c r="K46" i="124"/>
  <c r="L46" i="124" s="1"/>
  <c r="AY46" i="124" s="1"/>
  <c r="H236" i="124"/>
  <c r="I236" i="124" s="1"/>
  <c r="J236" i="124" s="1"/>
  <c r="H175" i="124"/>
  <c r="H108" i="124"/>
  <c r="H92" i="124"/>
  <c r="I92" i="124" s="1"/>
  <c r="J92" i="124" s="1"/>
  <c r="H35" i="124"/>
  <c r="H23" i="124"/>
  <c r="I23" i="124" s="1"/>
  <c r="J23" i="124" s="1"/>
  <c r="K235" i="124"/>
  <c r="L235" i="124" s="1"/>
  <c r="AY235" i="124" s="1"/>
  <c r="K217" i="124"/>
  <c r="L217" i="124" s="1"/>
  <c r="AY217" i="124" s="1"/>
  <c r="K201" i="124"/>
  <c r="L201" i="124" s="1"/>
  <c r="AY201" i="124" s="1"/>
  <c r="K172" i="124"/>
  <c r="L172" i="124" s="1"/>
  <c r="AY172" i="124" s="1"/>
  <c r="K137" i="124"/>
  <c r="L137" i="124" s="1"/>
  <c r="AY137" i="124" s="1"/>
  <c r="K121" i="124"/>
  <c r="L121" i="124" s="1"/>
  <c r="AY121" i="124" s="1"/>
  <c r="K105" i="124"/>
  <c r="L105" i="124" s="1"/>
  <c r="AY105" i="124" s="1"/>
  <c r="K89" i="124"/>
  <c r="L89" i="124" s="1"/>
  <c r="AY89" i="124" s="1"/>
  <c r="K61" i="124"/>
  <c r="L61" i="124" s="1"/>
  <c r="AY61" i="124" s="1"/>
  <c r="K38" i="124"/>
  <c r="L38" i="124" s="1"/>
  <c r="AY38" i="124" s="1"/>
  <c r="K22" i="124"/>
  <c r="L22" i="124" s="1"/>
  <c r="AY22" i="124" s="1"/>
  <c r="H249" i="124"/>
  <c r="I249" i="124" s="1"/>
  <c r="J249" i="124" s="1"/>
  <c r="H228" i="124"/>
  <c r="I228" i="124" s="1"/>
  <c r="J228" i="124" s="1"/>
  <c r="H212" i="124"/>
  <c r="H196" i="124"/>
  <c r="I196" i="124" s="1"/>
  <c r="J196" i="124" s="1"/>
  <c r="H148" i="124"/>
  <c r="H132" i="124"/>
  <c r="H116" i="124"/>
  <c r="H100" i="124"/>
  <c r="H84" i="124"/>
  <c r="H49" i="124"/>
  <c r="I49" i="124" s="1"/>
  <c r="J49" i="124" s="1"/>
  <c r="H37" i="124"/>
  <c r="H33" i="124"/>
  <c r="H29" i="124"/>
  <c r="H25" i="124"/>
  <c r="H21" i="124"/>
  <c r="H17" i="124"/>
  <c r="H13" i="124"/>
  <c r="H9" i="124"/>
  <c r="K250" i="124"/>
  <c r="L250" i="124" s="1"/>
  <c r="AY250" i="124" s="1"/>
  <c r="K225" i="124"/>
  <c r="L225" i="124" s="1"/>
  <c r="AY225" i="124" s="1"/>
  <c r="K193" i="124"/>
  <c r="L193" i="124" s="1"/>
  <c r="AY193" i="124" s="1"/>
  <c r="K145" i="124"/>
  <c r="L145" i="124" s="1"/>
  <c r="AY145" i="124" s="1"/>
  <c r="K129" i="124"/>
  <c r="L129" i="124" s="1"/>
  <c r="AY129" i="124" s="1"/>
  <c r="K97" i="124"/>
  <c r="L97" i="124" s="1"/>
  <c r="AY97" i="124" s="1"/>
  <c r="K69" i="124"/>
  <c r="L69" i="124" s="1"/>
  <c r="AY69" i="124" s="1"/>
  <c r="K30" i="124"/>
  <c r="L30" i="124" s="1"/>
  <c r="AY30" i="124" s="1"/>
  <c r="H220" i="124"/>
  <c r="H140" i="124"/>
  <c r="H41" i="124"/>
  <c r="H31" i="124"/>
  <c r="H19" i="124"/>
  <c r="K230" i="124"/>
  <c r="L230" i="124" s="1"/>
  <c r="AY230" i="124" s="1"/>
  <c r="K213" i="124"/>
  <c r="L213" i="124" s="1"/>
  <c r="AY213" i="124" s="1"/>
  <c r="K197" i="124"/>
  <c r="L197" i="124" s="1"/>
  <c r="AY197" i="124" s="1"/>
  <c r="K168" i="124"/>
  <c r="L168" i="124" s="1"/>
  <c r="AY168" i="124" s="1"/>
  <c r="K133" i="124"/>
  <c r="L133" i="124" s="1"/>
  <c r="AY133" i="124" s="1"/>
  <c r="K117" i="124"/>
  <c r="L117" i="124" s="1"/>
  <c r="AY117" i="124" s="1"/>
  <c r="K101" i="124"/>
  <c r="L101" i="124" s="1"/>
  <c r="AY101" i="124" s="1"/>
  <c r="K85" i="124"/>
  <c r="L85" i="124" s="1"/>
  <c r="AY85" i="124" s="1"/>
  <c r="K57" i="124"/>
  <c r="L57" i="124" s="1"/>
  <c r="AY57" i="124" s="1"/>
  <c r="K34" i="124"/>
  <c r="L34" i="124" s="1"/>
  <c r="AY34" i="124" s="1"/>
  <c r="K18" i="124"/>
  <c r="L18" i="124" s="1"/>
  <c r="AY18" i="124" s="1"/>
  <c r="H245" i="124"/>
  <c r="I245" i="124" s="1"/>
  <c r="J245" i="124" s="1"/>
  <c r="H224" i="124"/>
  <c r="I224" i="124" s="1"/>
  <c r="J224" i="124" s="1"/>
  <c r="H208" i="124"/>
  <c r="H192" i="124"/>
  <c r="H144" i="124"/>
  <c r="H128" i="124"/>
  <c r="H112" i="124"/>
  <c r="H96" i="124"/>
  <c r="I96" i="124" s="1"/>
  <c r="J96" i="124" s="1"/>
  <c r="H68" i="124"/>
  <c r="H45" i="124"/>
  <c r="H36" i="124"/>
  <c r="H32" i="124"/>
  <c r="H28" i="124"/>
  <c r="H24" i="124"/>
  <c r="H20" i="124"/>
  <c r="H16" i="124"/>
  <c r="H12" i="124"/>
  <c r="K113" i="124"/>
  <c r="L113" i="124" s="1"/>
  <c r="AY113" i="124" s="1"/>
  <c r="K14" i="124"/>
  <c r="L14" i="124" s="1"/>
  <c r="AY14" i="124" s="1"/>
  <c r="H204" i="124"/>
  <c r="H124" i="124"/>
  <c r="H64" i="124"/>
  <c r="I64" i="124" s="1"/>
  <c r="J64" i="124" s="1"/>
  <c r="H27" i="124"/>
  <c r="H15" i="124"/>
  <c r="H11" i="124"/>
  <c r="I11" i="124" s="1"/>
  <c r="J11" i="124" s="1"/>
  <c r="K229" i="124"/>
  <c r="L229" i="124" s="1"/>
  <c r="AY229" i="124" s="1"/>
  <c r="K245" i="124"/>
  <c r="L245" i="124" s="1"/>
  <c r="AY245" i="124" s="1"/>
  <c r="K247" i="124"/>
  <c r="L247" i="124" s="1"/>
  <c r="AY247" i="124" s="1"/>
  <c r="K251" i="124"/>
  <c r="L251" i="124" s="1"/>
  <c r="AY251" i="124" s="1"/>
  <c r="K232" i="124"/>
  <c r="L232" i="124" s="1"/>
  <c r="AY232" i="124" s="1"/>
  <c r="K8" i="124"/>
  <c r="L8" i="124" s="1"/>
  <c r="AY8" i="124" s="1"/>
  <c r="K47" i="172"/>
  <c r="K43" i="172"/>
  <c r="K39" i="172"/>
  <c r="K35" i="172"/>
  <c r="K31" i="172"/>
  <c r="K27" i="172"/>
  <c r="K23" i="172"/>
  <c r="K15" i="172"/>
  <c r="K11" i="172"/>
  <c r="K237" i="172"/>
  <c r="K221" i="172"/>
  <c r="K85" i="172"/>
  <c r="K44" i="172"/>
  <c r="K36" i="172"/>
  <c r="K28" i="172"/>
  <c r="K20" i="172"/>
  <c r="K12" i="172"/>
  <c r="L246" i="172"/>
  <c r="M246" i="172" s="1"/>
  <c r="L226" i="172"/>
  <c r="M226" i="172" s="1"/>
  <c r="L221" i="172"/>
  <c r="M221" i="172" s="1"/>
  <c r="L215" i="172"/>
  <c r="M215" i="172" s="1"/>
  <c r="L211" i="172"/>
  <c r="M211" i="172" s="1"/>
  <c r="L202" i="172"/>
  <c r="M202" i="172" s="1"/>
  <c r="L193" i="172"/>
  <c r="M193" i="172" s="1"/>
  <c r="L172" i="172"/>
  <c r="M172" i="172" s="1"/>
  <c r="L144" i="172"/>
  <c r="M144" i="172" s="1"/>
  <c r="L130" i="172"/>
  <c r="L126" i="172"/>
  <c r="M126" i="172" s="1"/>
  <c r="L122" i="172"/>
  <c r="M122" i="172" s="1"/>
  <c r="L116" i="172"/>
  <c r="M116" i="172" s="1"/>
  <c r="L106" i="172"/>
  <c r="M106" i="172" s="1"/>
  <c r="L100" i="172"/>
  <c r="M100" i="172" s="1"/>
  <c r="L91" i="172"/>
  <c r="M91" i="172" s="1"/>
  <c r="L87" i="172"/>
  <c r="M87" i="172" s="1"/>
  <c r="L71" i="172"/>
  <c r="M71" i="172" s="1"/>
  <c r="L65" i="172"/>
  <c r="M65" i="172" s="1"/>
  <c r="L46" i="172"/>
  <c r="M46" i="172" s="1"/>
  <c r="L40" i="172"/>
  <c r="M40" i="172" s="1"/>
  <c r="L35" i="172"/>
  <c r="M35" i="172" s="1"/>
  <c r="L28" i="172"/>
  <c r="M28" i="172" s="1"/>
  <c r="L17" i="172"/>
  <c r="M17" i="172" s="1"/>
  <c r="L10" i="172"/>
  <c r="M10" i="172" s="1"/>
  <c r="L222" i="172"/>
  <c r="M222" i="172" s="1"/>
  <c r="L173" i="172"/>
  <c r="M173" i="172" s="1"/>
  <c r="L141" i="172"/>
  <c r="M141" i="172" s="1"/>
  <c r="L127" i="172"/>
  <c r="M127" i="172" s="1"/>
  <c r="L118" i="172"/>
  <c r="M118" i="172" s="1"/>
  <c r="L108" i="172"/>
  <c r="M108" i="172" s="1"/>
  <c r="L95" i="172"/>
  <c r="M95" i="172" s="1"/>
  <c r="L84" i="172"/>
  <c r="M84" i="172" s="1"/>
  <c r="L58" i="172"/>
  <c r="M58" i="172" s="1"/>
  <c r="L41" i="172"/>
  <c r="M41" i="172" s="1"/>
  <c r="L29" i="172"/>
  <c r="M29" i="172" s="1"/>
  <c r="L13" i="172"/>
  <c r="M13" i="172" s="1"/>
  <c r="L250" i="172"/>
  <c r="M250" i="172" s="1"/>
  <c r="L235" i="172"/>
  <c r="M235" i="172" s="1"/>
  <c r="L225" i="172"/>
  <c r="M225" i="172" s="1"/>
  <c r="L220" i="172"/>
  <c r="M220" i="172" s="1"/>
  <c r="L214" i="172"/>
  <c r="M214" i="172" s="1"/>
  <c r="L208" i="172"/>
  <c r="M208" i="172" s="1"/>
  <c r="L192" i="172"/>
  <c r="M192" i="172" s="1"/>
  <c r="L148" i="172"/>
  <c r="M148" i="172" s="1"/>
  <c r="L143" i="172"/>
  <c r="M143" i="172" s="1"/>
  <c r="L129" i="172"/>
  <c r="M129" i="172" s="1"/>
  <c r="L125" i="172"/>
  <c r="M125" i="172" s="1"/>
  <c r="L121" i="172"/>
  <c r="M121" i="172" s="1"/>
  <c r="L111" i="172"/>
  <c r="M111" i="172" s="1"/>
  <c r="L104" i="172"/>
  <c r="M104" i="172" s="1"/>
  <c r="L98" i="172"/>
  <c r="M98" i="172" s="1"/>
  <c r="L90" i="172"/>
  <c r="M90" i="172" s="1"/>
  <c r="L86" i="172"/>
  <c r="M86" i="172" s="1"/>
  <c r="L69" i="172"/>
  <c r="M69" i="172" s="1"/>
  <c r="L60" i="172"/>
  <c r="M60" i="172" s="1"/>
  <c r="L45" i="172"/>
  <c r="M45" i="172" s="1"/>
  <c r="L33" i="172"/>
  <c r="M33" i="172" s="1"/>
  <c r="L23" i="172"/>
  <c r="M23" i="172" s="1"/>
  <c r="L16" i="172"/>
  <c r="M16" i="172" s="1"/>
  <c r="L9" i="172"/>
  <c r="M9" i="172" s="1"/>
  <c r="L249" i="172"/>
  <c r="M249" i="172" s="1"/>
  <c r="L238" i="172"/>
  <c r="M238" i="172" s="1"/>
  <c r="L234" i="172"/>
  <c r="M234" i="172" s="1"/>
  <c r="L223" i="172"/>
  <c r="M223" i="172" s="1"/>
  <c r="L217" i="172"/>
  <c r="M217" i="172" s="1"/>
  <c r="L213" i="172"/>
  <c r="M213" i="172" s="1"/>
  <c r="L207" i="172"/>
  <c r="M207" i="172" s="1"/>
  <c r="L196" i="172"/>
  <c r="M196" i="172" s="1"/>
  <c r="L147" i="172"/>
  <c r="M147" i="172" s="1"/>
  <c r="L128" i="172"/>
  <c r="M128" i="172" s="1"/>
  <c r="L124" i="172"/>
  <c r="M124" i="172" s="1"/>
  <c r="L120" i="172"/>
  <c r="M120" i="172" s="1"/>
  <c r="L109" i="172"/>
  <c r="M109" i="172" s="1"/>
  <c r="L103" i="172"/>
  <c r="M103" i="172" s="1"/>
  <c r="L97" i="172"/>
  <c r="M97" i="172" s="1"/>
  <c r="L89" i="172"/>
  <c r="M89" i="172" s="1"/>
  <c r="L85" i="172"/>
  <c r="M85" i="172" s="1"/>
  <c r="L68" i="172"/>
  <c r="M68" i="172" s="1"/>
  <c r="L59" i="172"/>
  <c r="M59" i="172" s="1"/>
  <c r="L43" i="172"/>
  <c r="M43" i="172" s="1"/>
  <c r="L37" i="172"/>
  <c r="M37" i="172" s="1"/>
  <c r="L31" i="172"/>
  <c r="M31" i="172" s="1"/>
  <c r="L21" i="172"/>
  <c r="M21" i="172" s="1"/>
  <c r="L15" i="172"/>
  <c r="M15" i="172" s="1"/>
  <c r="L248" i="172"/>
  <c r="M248" i="172" s="1"/>
  <c r="L237" i="172"/>
  <c r="M237" i="172" s="1"/>
  <c r="L233" i="172"/>
  <c r="M233" i="172" s="1"/>
  <c r="L216" i="172"/>
  <c r="M216" i="172" s="1"/>
  <c r="L212" i="172"/>
  <c r="M212" i="172" s="1"/>
  <c r="L203" i="172"/>
  <c r="M203" i="172" s="1"/>
  <c r="L195" i="172"/>
  <c r="M195" i="172" s="1"/>
  <c r="L146" i="172"/>
  <c r="M146" i="172" s="1"/>
  <c r="L123" i="172"/>
  <c r="M123" i="172" s="1"/>
  <c r="L102" i="172"/>
  <c r="M102" i="172" s="1"/>
  <c r="L88" i="172"/>
  <c r="M88" i="172" s="1"/>
  <c r="L67" i="172"/>
  <c r="M67" i="172" s="1"/>
  <c r="L36" i="172"/>
  <c r="M36" i="172" s="1"/>
  <c r="L19" i="172"/>
  <c r="M19" i="172" s="1"/>
  <c r="L219" i="172"/>
  <c r="M219" i="172" s="1"/>
  <c r="L105" i="172"/>
  <c r="M105" i="172" s="1"/>
  <c r="L61" i="172"/>
  <c r="M61" i="172" s="1"/>
  <c r="L26" i="172"/>
  <c r="M26" i="172" s="1"/>
  <c r="L62" i="172"/>
  <c r="M62" i="172" s="1"/>
  <c r="L206" i="172"/>
  <c r="M206" i="172" s="1"/>
  <c r="L113" i="172"/>
  <c r="M113" i="172" s="1"/>
  <c r="L209" i="172"/>
  <c r="M209" i="172" s="1"/>
  <c r="L140" i="172"/>
  <c r="M140" i="172" s="1"/>
  <c r="L63" i="172"/>
  <c r="M63" i="172" s="1"/>
  <c r="L204" i="172"/>
  <c r="M204" i="172" s="1"/>
  <c r="L115" i="172"/>
  <c r="M115" i="172" s="1"/>
  <c r="L114" i="172"/>
  <c r="M114" i="172" s="1"/>
  <c r="L210" i="172"/>
  <c r="M210" i="172" s="1"/>
  <c r="L18" i="172"/>
  <c r="M18" i="172" s="1"/>
  <c r="L24" i="172"/>
  <c r="M24" i="172" s="1"/>
  <c r="L177" i="172"/>
  <c r="M177" i="172" s="1"/>
  <c r="L101" i="172"/>
  <c r="M101" i="172" s="1"/>
  <c r="L42" i="172"/>
  <c r="M42" i="172" s="1"/>
  <c r="L117" i="172"/>
  <c r="M117" i="172" s="1"/>
  <c r="L14" i="172"/>
  <c r="M14" i="172" s="1"/>
  <c r="L176" i="172"/>
  <c r="M176" i="172" s="1"/>
  <c r="L20" i="172"/>
  <c r="M20" i="172" s="1"/>
  <c r="L205" i="172"/>
  <c r="M205" i="172" s="1"/>
  <c r="L112" i="172"/>
  <c r="M112" i="172" s="1"/>
  <c r="L44" i="172"/>
  <c r="M44" i="172" s="1"/>
  <c r="L39" i="172"/>
  <c r="M39" i="172" s="1"/>
  <c r="L30" i="172"/>
  <c r="M30" i="172" s="1"/>
  <c r="L12" i="172"/>
  <c r="M12" i="172" s="1"/>
  <c r="L171" i="172"/>
  <c r="M171" i="172" s="1"/>
  <c r="L139" i="172"/>
  <c r="M139" i="172" s="1"/>
  <c r="L169" i="172"/>
  <c r="M169" i="172" s="1"/>
  <c r="L70" i="172"/>
  <c r="M70" i="172" s="1"/>
  <c r="L34" i="172"/>
  <c r="M34" i="172" s="1"/>
  <c r="L25" i="172"/>
  <c r="M25" i="172" s="1"/>
  <c r="L218" i="172"/>
  <c r="M218" i="172" s="1"/>
  <c r="L168" i="172"/>
  <c r="M168" i="172" s="1"/>
  <c r="L119" i="172"/>
  <c r="M119" i="172" s="1"/>
  <c r="L175" i="172"/>
  <c r="M175" i="172" s="1"/>
  <c r="L107" i="172"/>
  <c r="M107" i="172" s="1"/>
  <c r="L32" i="172"/>
  <c r="M32" i="172" s="1"/>
  <c r="L170" i="172"/>
  <c r="M170" i="172" s="1"/>
  <c r="L27" i="172"/>
  <c r="M27" i="172" s="1"/>
  <c r="L66" i="172"/>
  <c r="M66" i="172" s="1"/>
  <c r="L145" i="172"/>
  <c r="M145" i="172" s="1"/>
  <c r="L99" i="172"/>
  <c r="M99" i="172" s="1"/>
  <c r="L94" i="172"/>
  <c r="M94" i="172" s="1"/>
  <c r="K45" i="172"/>
  <c r="K37" i="172"/>
  <c r="K29" i="172"/>
  <c r="K21" i="172"/>
  <c r="K13" i="172"/>
  <c r="K239" i="172"/>
  <c r="K207" i="172"/>
  <c r="K191" i="172"/>
  <c r="K187" i="172"/>
  <c r="K179" i="172"/>
  <c r="K175" i="172"/>
  <c r="K167" i="172"/>
  <c r="K159" i="172"/>
  <c r="K143" i="172"/>
  <c r="K111" i="172"/>
  <c r="K103" i="172"/>
  <c r="K87" i="172"/>
  <c r="K83" i="172"/>
  <c r="K79" i="172"/>
  <c r="K75" i="172"/>
  <c r="K63" i="172"/>
  <c r="K222" i="172"/>
  <c r="K236" i="172"/>
  <c r="K188" i="172"/>
  <c r="K180" i="172"/>
  <c r="K164" i="172"/>
  <c r="K156" i="172"/>
  <c r="K140" i="172"/>
  <c r="K132" i="172"/>
  <c r="K116" i="172"/>
  <c r="K108" i="172"/>
  <c r="K100" i="172"/>
  <c r="K92" i="172"/>
  <c r="K84" i="172"/>
  <c r="K60" i="172"/>
  <c r="K77" i="134"/>
  <c r="K27" i="133"/>
  <c r="L27" i="133" s="1"/>
  <c r="AY27" i="133" s="1"/>
  <c r="K42" i="133"/>
  <c r="L42" i="133" s="1"/>
  <c r="AY42" i="133" s="1"/>
  <c r="K26" i="133"/>
  <c r="L26" i="133" s="1"/>
  <c r="AY26" i="133" s="1"/>
  <c r="K41" i="133"/>
  <c r="L41" i="133" s="1"/>
  <c r="AY41" i="133" s="1"/>
  <c r="K60" i="133"/>
  <c r="L60" i="133" s="1"/>
  <c r="AY60" i="133" s="1"/>
  <c r="K59" i="168"/>
  <c r="K47" i="168"/>
  <c r="K23" i="168"/>
  <c r="K71" i="168"/>
  <c r="K63" i="168"/>
  <c r="K171" i="172"/>
  <c r="K163" i="172"/>
  <c r="K139" i="172"/>
  <c r="K115" i="172"/>
  <c r="K99" i="172"/>
  <c r="K51" i="172"/>
  <c r="K251" i="172"/>
  <c r="K243" i="172"/>
  <c r="K219" i="172"/>
  <c r="K211" i="172"/>
  <c r="K203" i="172"/>
  <c r="K195" i="172"/>
  <c r="K224" i="172"/>
  <c r="K249" i="172"/>
  <c r="K241" i="172"/>
  <c r="K233" i="172"/>
  <c r="K225" i="172"/>
  <c r="K201" i="172"/>
  <c r="K169" i="172"/>
  <c r="K145" i="172"/>
  <c r="K121" i="172"/>
  <c r="K89" i="172"/>
  <c r="K57" i="172"/>
  <c r="K49" i="172"/>
  <c r="K229" i="172"/>
  <c r="K213" i="172"/>
  <c r="K205" i="172"/>
  <c r="K197" i="172"/>
  <c r="K189" i="172"/>
  <c r="K173" i="172"/>
  <c r="K165" i="172"/>
  <c r="K157" i="172"/>
  <c r="K149" i="172"/>
  <c r="K141" i="172"/>
  <c r="K133" i="172"/>
  <c r="K125" i="172"/>
  <c r="K117" i="172"/>
  <c r="K109" i="172"/>
  <c r="K101" i="172"/>
  <c r="K93" i="172"/>
  <c r="K77" i="172"/>
  <c r="K69" i="172"/>
  <c r="K61" i="172"/>
  <c r="K53" i="172"/>
  <c r="K235" i="172"/>
  <c r="K227" i="172"/>
  <c r="K155" i="172"/>
  <c r="K147" i="172"/>
  <c r="K131" i="172"/>
  <c r="K123" i="172"/>
  <c r="K107" i="172"/>
  <c r="K91" i="172"/>
  <c r="K67" i="172"/>
  <c r="K59" i="172"/>
  <c r="K46" i="172"/>
  <c r="K38" i="172"/>
  <c r="K30" i="172"/>
  <c r="K22" i="172"/>
  <c r="K14" i="172"/>
  <c r="K232" i="172"/>
  <c r="K41" i="172"/>
  <c r="K33" i="172"/>
  <c r="K25" i="172"/>
  <c r="K17" i="172"/>
  <c r="K9" i="172"/>
  <c r="K245" i="172"/>
  <c r="K126" i="172"/>
  <c r="K102" i="172"/>
  <c r="K86" i="172"/>
  <c r="K78" i="172"/>
  <c r="K70" i="172"/>
  <c r="K250" i="172"/>
  <c r="K242" i="172"/>
  <c r="K248" i="172"/>
  <c r="K240" i="172"/>
  <c r="K181" i="172"/>
  <c r="K9" i="168"/>
  <c r="K17" i="168"/>
  <c r="K25" i="168"/>
  <c r="K33" i="168"/>
  <c r="K41" i="168"/>
  <c r="X7" i="133"/>
  <c r="Y6" i="133"/>
  <c r="K8" i="168"/>
  <c r="K43" i="168"/>
  <c r="K51" i="168"/>
  <c r="K62" i="168"/>
  <c r="K11" i="168"/>
  <c r="H5" i="168"/>
  <c r="K27" i="168"/>
  <c r="K57" i="168"/>
  <c r="K65" i="168"/>
  <c r="K13" i="168"/>
  <c r="K21" i="168"/>
  <c r="K29" i="168"/>
  <c r="K37" i="168"/>
  <c r="V6" i="124"/>
  <c r="U7" i="124"/>
  <c r="K214" i="172"/>
  <c r="K198" i="172"/>
  <c r="K190" i="172"/>
  <c r="K182" i="172"/>
  <c r="K174" i="172"/>
  <c r="K166" i="172"/>
  <c r="K158" i="172"/>
  <c r="K150" i="172"/>
  <c r="K142" i="172"/>
  <c r="K134" i="172"/>
  <c r="K20" i="168"/>
  <c r="K28" i="168"/>
  <c r="K36" i="168"/>
  <c r="K46" i="168"/>
  <c r="K50" i="168"/>
  <c r="K54" i="168"/>
  <c r="K68" i="168"/>
  <c r="K76" i="168"/>
  <c r="K10" i="168"/>
  <c r="K14" i="168"/>
  <c r="K18" i="168"/>
  <c r="K22" i="168"/>
  <c r="K26" i="168"/>
  <c r="K30" i="168"/>
  <c r="K44" i="168"/>
  <c r="K52" i="168"/>
  <c r="H77" i="134"/>
  <c r="H6" i="168"/>
  <c r="K16" i="168"/>
  <c r="K24" i="168"/>
  <c r="K32" i="168"/>
  <c r="K40" i="168"/>
  <c r="K72" i="168"/>
  <c r="L76" i="168"/>
  <c r="M76" i="168" s="1"/>
  <c r="L59" i="168"/>
  <c r="M59" i="168" s="1"/>
  <c r="L22" i="168"/>
  <c r="M22" i="168" s="1"/>
  <c r="L55" i="168"/>
  <c r="M55" i="168" s="1"/>
  <c r="L51" i="168"/>
  <c r="M51" i="168" s="1"/>
  <c r="L10" i="168"/>
  <c r="M10" i="168" s="1"/>
  <c r="L37" i="168"/>
  <c r="M37" i="168" s="1"/>
  <c r="L42" i="168"/>
  <c r="M42" i="168" s="1"/>
  <c r="L65" i="168"/>
  <c r="M65" i="168" s="1"/>
  <c r="L64" i="168"/>
  <c r="M64" i="168" s="1"/>
  <c r="L61" i="168"/>
  <c r="M61" i="168" s="1"/>
  <c r="L47" i="168"/>
  <c r="M47" i="168" s="1"/>
  <c r="L75" i="168"/>
  <c r="M75" i="168" s="1"/>
  <c r="L71" i="168"/>
  <c r="M71" i="168" s="1"/>
  <c r="L57" i="168"/>
  <c r="M57" i="168" s="1"/>
  <c r="L40" i="168"/>
  <c r="M40" i="168" s="1"/>
  <c r="L36" i="168"/>
  <c r="M36" i="168" s="1"/>
  <c r="L32" i="168"/>
  <c r="M32" i="168" s="1"/>
  <c r="L28" i="168"/>
  <c r="M28" i="168" s="1"/>
  <c r="L21" i="168"/>
  <c r="M21" i="168" s="1"/>
  <c r="L17" i="168"/>
  <c r="M17" i="168" s="1"/>
  <c r="L50" i="172"/>
  <c r="M50" i="172" s="1"/>
  <c r="L67" i="168"/>
  <c r="M67" i="168" s="1"/>
  <c r="L54" i="168"/>
  <c r="M54" i="168" s="1"/>
  <c r="L24" i="168"/>
  <c r="M24" i="168" s="1"/>
  <c r="L13" i="168"/>
  <c r="M13" i="168" s="1"/>
  <c r="L9" i="168"/>
  <c r="M9" i="168" s="1"/>
  <c r="L60" i="168"/>
  <c r="M60" i="168" s="1"/>
  <c r="L50" i="168"/>
  <c r="M50" i="168" s="1"/>
  <c r="L74" i="168"/>
  <c r="M74" i="168" s="1"/>
  <c r="L70" i="168"/>
  <c r="M70" i="168" s="1"/>
  <c r="L56" i="168"/>
  <c r="M56" i="168" s="1"/>
  <c r="L39" i="168"/>
  <c r="M39" i="168" s="1"/>
  <c r="L35" i="168"/>
  <c r="M35" i="168" s="1"/>
  <c r="L31" i="168"/>
  <c r="M31" i="168" s="1"/>
  <c r="L20" i="168"/>
  <c r="M20" i="168" s="1"/>
  <c r="L16" i="168"/>
  <c r="M16" i="168" s="1"/>
  <c r="L66" i="168"/>
  <c r="M66" i="168" s="1"/>
  <c r="L63" i="168"/>
  <c r="M63" i="168" s="1"/>
  <c r="L53" i="168"/>
  <c r="M53" i="168" s="1"/>
  <c r="L46" i="168"/>
  <c r="M46" i="168" s="1"/>
  <c r="L43" i="168"/>
  <c r="M43" i="168" s="1"/>
  <c r="L27" i="168"/>
  <c r="M27" i="168" s="1"/>
  <c r="L12" i="168"/>
  <c r="M12" i="168" s="1"/>
  <c r="L8" i="168"/>
  <c r="M8" i="168" s="1"/>
  <c r="L62" i="168"/>
  <c r="M62" i="168" s="1"/>
  <c r="L52" i="168"/>
  <c r="M52" i="168" s="1"/>
  <c r="L45" i="168"/>
  <c r="M45" i="168" s="1"/>
  <c r="L26" i="168"/>
  <c r="M26" i="168" s="1"/>
  <c r="L15" i="168"/>
  <c r="M15" i="168" s="1"/>
  <c r="L11" i="168"/>
  <c r="M11" i="168" s="1"/>
  <c r="L18" i="168"/>
  <c r="M18" i="168" s="1"/>
  <c r="L23" i="168"/>
  <c r="M23" i="168" s="1"/>
  <c r="L33" i="168"/>
  <c r="M33" i="168" s="1"/>
  <c r="L38" i="168"/>
  <c r="M38" i="168" s="1"/>
  <c r="L72" i="168"/>
  <c r="M72" i="168" s="1"/>
  <c r="L48" i="168"/>
  <c r="M48" i="168" s="1"/>
  <c r="L14" i="168"/>
  <c r="M14" i="168" s="1"/>
  <c r="L19" i="168"/>
  <c r="M19" i="168" s="1"/>
  <c r="L29" i="168"/>
  <c r="M29" i="168" s="1"/>
  <c r="L34" i="168"/>
  <c r="M34" i="168" s="1"/>
  <c r="L68" i="168"/>
  <c r="M68" i="168" s="1"/>
  <c r="L73" i="168"/>
  <c r="M73" i="168" s="1"/>
  <c r="L44" i="168"/>
  <c r="M44" i="168" s="1"/>
  <c r="L49" i="168"/>
  <c r="M49" i="168" s="1"/>
  <c r="L25" i="168"/>
  <c r="M25" i="168" s="1"/>
  <c r="L30" i="168"/>
  <c r="M30" i="168" s="1"/>
  <c r="L41" i="168"/>
  <c r="M41" i="168" s="1"/>
  <c r="L69" i="168"/>
  <c r="M69" i="168" s="1"/>
  <c r="L58" i="168"/>
  <c r="M58" i="168" s="1"/>
  <c r="L8" i="172"/>
  <c r="M8" i="172" s="1"/>
  <c r="K217" i="172"/>
  <c r="K209" i="172"/>
  <c r="K193" i="172"/>
  <c r="K185" i="172"/>
  <c r="K177" i="172"/>
  <c r="K161" i="172"/>
  <c r="K153" i="172"/>
  <c r="K137" i="172"/>
  <c r="K129" i="172"/>
  <c r="K113" i="172"/>
  <c r="K105" i="172"/>
  <c r="K97" i="172"/>
  <c r="K81" i="172"/>
  <c r="K73" i="172"/>
  <c r="K65" i="172"/>
  <c r="K122" i="172"/>
  <c r="K114" i="172"/>
  <c r="K106" i="172"/>
  <c r="K98" i="172"/>
  <c r="K90" i="172"/>
  <c r="K82" i="172"/>
  <c r="K74" i="172"/>
  <c r="K66" i="172"/>
  <c r="K58" i="172"/>
  <c r="K42" i="172"/>
  <c r="K34" i="172"/>
  <c r="K26" i="172"/>
  <c r="K18" i="172"/>
  <c r="K10" i="172"/>
  <c r="K252" i="125"/>
  <c r="H252" i="125"/>
  <c r="K184" i="172"/>
  <c r="K176" i="172"/>
  <c r="K168" i="172"/>
  <c r="K160" i="172"/>
  <c r="K152" i="172"/>
  <c r="K144" i="172"/>
  <c r="K136" i="172"/>
  <c r="K246" i="172"/>
  <c r="K238" i="172"/>
  <c r="K230" i="172"/>
  <c r="K216" i="172"/>
  <c r="K208" i="172"/>
  <c r="K200" i="172"/>
  <c r="K192" i="172"/>
  <c r="K19" i="172"/>
  <c r="H6" i="172"/>
  <c r="K128" i="172"/>
  <c r="K120" i="172"/>
  <c r="K112" i="172"/>
  <c r="K104" i="172"/>
  <c r="K96" i="172"/>
  <c r="K88" i="172"/>
  <c r="K80" i="172"/>
  <c r="K72" i="172"/>
  <c r="K64" i="172"/>
  <c r="K56" i="172"/>
  <c r="K48" i="172"/>
  <c r="K40" i="172"/>
  <c r="K32" i="172"/>
  <c r="K24" i="172"/>
  <c r="K16" i="172"/>
  <c r="K8" i="172"/>
  <c r="K50" i="172"/>
  <c r="H5" i="172"/>
  <c r="M183" i="124" l="1"/>
  <c r="K71" i="158"/>
  <c r="N32" i="112"/>
  <c r="N34" i="112" s="1"/>
  <c r="N39" i="112" s="1"/>
  <c r="L72" i="106"/>
  <c r="M8" i="133"/>
  <c r="M18" i="133"/>
  <c r="M72" i="124"/>
  <c r="M157" i="124"/>
  <c r="M76" i="133"/>
  <c r="M165" i="124"/>
  <c r="M73" i="124"/>
  <c r="G52" i="106"/>
  <c r="B12" i="40"/>
  <c r="G54" i="106"/>
  <c r="G55" i="106"/>
  <c r="I32" i="124"/>
  <c r="J32" i="124" s="1"/>
  <c r="M32" i="124" s="1"/>
  <c r="I127" i="124"/>
  <c r="J127" i="124" s="1"/>
  <c r="M127" i="124" s="1"/>
  <c r="I15" i="124"/>
  <c r="J15" i="124" s="1"/>
  <c r="M15" i="124" s="1"/>
  <c r="I108" i="124"/>
  <c r="J108" i="124" s="1"/>
  <c r="M108" i="124" s="1"/>
  <c r="I120" i="124"/>
  <c r="J120" i="124" s="1"/>
  <c r="M120" i="124" s="1"/>
  <c r="I117" i="124"/>
  <c r="J117" i="124" s="1"/>
  <c r="M117" i="124" s="1"/>
  <c r="I168" i="124"/>
  <c r="J168" i="124" s="1"/>
  <c r="M168" i="124" s="1"/>
  <c r="I98" i="124"/>
  <c r="J98" i="124" s="1"/>
  <c r="M98" i="124" s="1"/>
  <c r="I67" i="124"/>
  <c r="J67" i="124" s="1"/>
  <c r="M67" i="124" s="1"/>
  <c r="A37" i="173"/>
  <c r="J37" i="173" s="1"/>
  <c r="A31" i="173"/>
  <c r="H31" i="173" s="1"/>
  <c r="H39" i="173" s="1"/>
  <c r="H51" i="173" s="1"/>
  <c r="E13" i="40" s="1"/>
  <c r="A28" i="173"/>
  <c r="G28" i="173" s="1"/>
  <c r="G39" i="173" s="1"/>
  <c r="G51" i="173" s="1"/>
  <c r="F25" i="173"/>
  <c r="F39" i="173" s="1"/>
  <c r="F51" i="173" s="1"/>
  <c r="E11" i="40" s="1"/>
  <c r="I207" i="124" s="1"/>
  <c r="J207" i="124" s="1"/>
  <c r="M207" i="124" s="1"/>
  <c r="L38" i="173"/>
  <c r="K38" i="173"/>
  <c r="A34" i="173"/>
  <c r="I34" i="173" s="1"/>
  <c r="I192" i="124"/>
  <c r="J192" i="124" s="1"/>
  <c r="M192" i="124" s="1"/>
  <c r="I133" i="124"/>
  <c r="J133" i="124" s="1"/>
  <c r="M133" i="124" s="1"/>
  <c r="I20" i="124"/>
  <c r="J20" i="124" s="1"/>
  <c r="M20" i="124" s="1"/>
  <c r="I13" i="124"/>
  <c r="J13" i="124" s="1"/>
  <c r="M13" i="124" s="1"/>
  <c r="I84" i="124"/>
  <c r="J84" i="124" s="1"/>
  <c r="M84" i="124" s="1"/>
  <c r="I136" i="124"/>
  <c r="J136" i="124" s="1"/>
  <c r="M136" i="124" s="1"/>
  <c r="I89" i="124"/>
  <c r="J89" i="124" s="1"/>
  <c r="M89" i="124" s="1"/>
  <c r="I102" i="124"/>
  <c r="J102" i="124" s="1"/>
  <c r="M102" i="124" s="1"/>
  <c r="I134" i="124"/>
  <c r="J134" i="124" s="1"/>
  <c r="M134" i="124" s="1"/>
  <c r="I147" i="124"/>
  <c r="J147" i="124" s="1"/>
  <c r="M147" i="124" s="1"/>
  <c r="I211" i="124"/>
  <c r="J211" i="124" s="1"/>
  <c r="M211" i="124" s="1"/>
  <c r="I8" i="124"/>
  <c r="J8" i="124" s="1"/>
  <c r="M8" i="124" s="1"/>
  <c r="I32" i="116"/>
  <c r="I34" i="116" s="1"/>
  <c r="I39" i="116" s="1"/>
  <c r="I65" i="116" s="1"/>
  <c r="I71" i="116" s="1"/>
  <c r="I52" i="106"/>
  <c r="B14" i="40"/>
  <c r="D32" i="158"/>
  <c r="D34" i="158" s="1"/>
  <c r="D39" i="158" s="1"/>
  <c r="D65" i="158" s="1"/>
  <c r="D71" i="158" s="1"/>
  <c r="I146" i="124"/>
  <c r="J146" i="124" s="1"/>
  <c r="M146" i="124" s="1"/>
  <c r="I17" i="124"/>
  <c r="J17" i="124" s="1"/>
  <c r="M17" i="124" s="1"/>
  <c r="I100" i="124"/>
  <c r="J100" i="124" s="1"/>
  <c r="M100" i="124" s="1"/>
  <c r="I30" i="124"/>
  <c r="J30" i="124" s="1"/>
  <c r="M30" i="124" s="1"/>
  <c r="I171" i="124"/>
  <c r="J171" i="124" s="1"/>
  <c r="M171" i="124" s="1"/>
  <c r="I42" i="124"/>
  <c r="J42" i="124" s="1"/>
  <c r="M42" i="124" s="1"/>
  <c r="I106" i="124"/>
  <c r="J106" i="124" s="1"/>
  <c r="M106" i="124" s="1"/>
  <c r="I138" i="124"/>
  <c r="J138" i="124" s="1"/>
  <c r="M138" i="124" s="1"/>
  <c r="I202" i="124"/>
  <c r="J202" i="124" s="1"/>
  <c r="M202" i="124" s="1"/>
  <c r="I119" i="124"/>
  <c r="J119" i="124" s="1"/>
  <c r="M119" i="124" s="1"/>
  <c r="I215" i="124"/>
  <c r="J215" i="124" s="1"/>
  <c r="M215" i="124" s="1"/>
  <c r="E17" i="40"/>
  <c r="H73" i="173"/>
  <c r="H74" i="173" s="1"/>
  <c r="K73" i="173"/>
  <c r="K74" i="173" s="1"/>
  <c r="G73" i="173"/>
  <c r="G74" i="173" s="1"/>
  <c r="J73" i="173"/>
  <c r="J74" i="173" s="1"/>
  <c r="F73" i="173"/>
  <c r="F74" i="173" s="1"/>
  <c r="I73" i="173"/>
  <c r="I74" i="173" s="1"/>
  <c r="E73" i="173"/>
  <c r="I210" i="124"/>
  <c r="J210" i="124" s="1"/>
  <c r="M210" i="124" s="1"/>
  <c r="I19" i="124"/>
  <c r="J19" i="124" s="1"/>
  <c r="M19" i="124" s="1"/>
  <c r="I21" i="124"/>
  <c r="J21" i="124" s="1"/>
  <c r="M21" i="124" s="1"/>
  <c r="I116" i="124"/>
  <c r="J116" i="124" s="1"/>
  <c r="M116" i="124" s="1"/>
  <c r="I34" i="124"/>
  <c r="J34" i="124" s="1"/>
  <c r="M34" i="124" s="1"/>
  <c r="I193" i="124"/>
  <c r="J193" i="124" s="1"/>
  <c r="M193" i="124" s="1"/>
  <c r="I66" i="124"/>
  <c r="J66" i="124" s="1"/>
  <c r="M66" i="124" s="1"/>
  <c r="I174" i="124"/>
  <c r="J174" i="124" s="1"/>
  <c r="M174" i="124" s="1"/>
  <c r="B13" i="40"/>
  <c r="H52" i="106"/>
  <c r="I132" i="124"/>
  <c r="J132" i="124" s="1"/>
  <c r="M132" i="124" s="1"/>
  <c r="I208" i="124"/>
  <c r="J208" i="124" s="1"/>
  <c r="M208" i="124" s="1"/>
  <c r="I41" i="124"/>
  <c r="J41" i="124" s="1"/>
  <c r="M41" i="124" s="1"/>
  <c r="I148" i="124"/>
  <c r="J148" i="124" s="1"/>
  <c r="M148" i="124" s="1"/>
  <c r="I60" i="124"/>
  <c r="J60" i="124" s="1"/>
  <c r="M60" i="124" s="1"/>
  <c r="I105" i="124"/>
  <c r="J105" i="124" s="1"/>
  <c r="M105" i="124" s="1"/>
  <c r="I137" i="124"/>
  <c r="J137" i="124" s="1"/>
  <c r="M137" i="124" s="1"/>
  <c r="I118" i="124"/>
  <c r="J118" i="124" s="1"/>
  <c r="M118" i="124" s="1"/>
  <c r="I169" i="124"/>
  <c r="J169" i="124" s="1"/>
  <c r="M169" i="124" s="1"/>
  <c r="I214" i="124"/>
  <c r="J214" i="124" s="1"/>
  <c r="M214" i="124" s="1"/>
  <c r="I99" i="124"/>
  <c r="J99" i="124" s="1"/>
  <c r="M99" i="124" s="1"/>
  <c r="I131" i="124"/>
  <c r="J131" i="124" s="1"/>
  <c r="M131" i="124" s="1"/>
  <c r="B15" i="40"/>
  <c r="J52" i="106"/>
  <c r="I216" i="124"/>
  <c r="J216" i="124" s="1"/>
  <c r="M216" i="124" s="1"/>
  <c r="I45" i="124"/>
  <c r="J45" i="124" s="1"/>
  <c r="M45" i="124" s="1"/>
  <c r="I33" i="124"/>
  <c r="J33" i="124" s="1"/>
  <c r="M33" i="124" s="1"/>
  <c r="I35" i="124"/>
  <c r="J35" i="124" s="1"/>
  <c r="M35" i="124" s="1"/>
  <c r="I14" i="124"/>
  <c r="J14" i="124" s="1"/>
  <c r="M14" i="124" s="1"/>
  <c r="I141" i="124"/>
  <c r="J141" i="124" s="1"/>
  <c r="M141" i="124" s="1"/>
  <c r="I205" i="124"/>
  <c r="J205" i="124" s="1"/>
  <c r="M205" i="124" s="1"/>
  <c r="I39" i="124"/>
  <c r="J39" i="124" s="1"/>
  <c r="M39" i="124" s="1"/>
  <c r="I218" i="124"/>
  <c r="J218" i="124" s="1"/>
  <c r="M218" i="124" s="1"/>
  <c r="I135" i="124"/>
  <c r="J135" i="124" s="1"/>
  <c r="M135" i="124" s="1"/>
  <c r="I199" i="124"/>
  <c r="J199" i="124" s="1"/>
  <c r="M199" i="124" s="1"/>
  <c r="K74" i="106"/>
  <c r="K75" i="106" s="1"/>
  <c r="F74" i="106"/>
  <c r="F75" i="106" s="1"/>
  <c r="H74" i="106"/>
  <c r="H75" i="106" s="1"/>
  <c r="L52" i="106"/>
  <c r="G74" i="106"/>
  <c r="G75" i="106" s="1"/>
  <c r="B17" i="40"/>
  <c r="E74" i="106"/>
  <c r="I74" i="106"/>
  <c r="I75" i="106" s="1"/>
  <c r="J74" i="106"/>
  <c r="J75" i="106" s="1"/>
  <c r="I31" i="124"/>
  <c r="J31" i="124" s="1"/>
  <c r="M31" i="124" s="1"/>
  <c r="I101" i="124"/>
  <c r="J101" i="124" s="1"/>
  <c r="M101" i="124" s="1"/>
  <c r="I70" i="124"/>
  <c r="J70" i="124" s="1"/>
  <c r="M70" i="124" s="1"/>
  <c r="I44" i="124"/>
  <c r="J44" i="124" s="1"/>
  <c r="M44" i="124" s="1"/>
  <c r="I12" i="124"/>
  <c r="J12" i="124" s="1"/>
  <c r="M12" i="124" s="1"/>
  <c r="I68" i="124"/>
  <c r="J68" i="124" s="1"/>
  <c r="M68" i="124" s="1"/>
  <c r="I220" i="124"/>
  <c r="J220" i="124" s="1"/>
  <c r="M220" i="124" s="1"/>
  <c r="I212" i="124"/>
  <c r="J212" i="124" s="1"/>
  <c r="M212" i="124" s="1"/>
  <c r="I18" i="124"/>
  <c r="J18" i="124" s="1"/>
  <c r="M18" i="124" s="1"/>
  <c r="I104" i="124"/>
  <c r="J104" i="124" s="1"/>
  <c r="M104" i="124" s="1"/>
  <c r="I69" i="124"/>
  <c r="J69" i="124" s="1"/>
  <c r="M69" i="124" s="1"/>
  <c r="I145" i="124"/>
  <c r="J145" i="124" s="1"/>
  <c r="M145" i="124" s="1"/>
  <c r="I209" i="124"/>
  <c r="J209" i="124" s="1"/>
  <c r="M209" i="124" s="1"/>
  <c r="I43" i="124"/>
  <c r="J43" i="124" s="1"/>
  <c r="M43" i="124" s="1"/>
  <c r="I94" i="124"/>
  <c r="J94" i="124" s="1"/>
  <c r="M94" i="124" s="1"/>
  <c r="I107" i="124"/>
  <c r="J107" i="124" s="1"/>
  <c r="M107" i="124" s="1"/>
  <c r="I203" i="124"/>
  <c r="J203" i="124" s="1"/>
  <c r="M203" i="124" s="1"/>
  <c r="I9" i="40"/>
  <c r="E9" i="40"/>
  <c r="N32" i="116"/>
  <c r="N34" i="116" s="1"/>
  <c r="N39" i="116" s="1"/>
  <c r="N65" i="116" s="1"/>
  <c r="N71" i="116" s="1"/>
  <c r="P71" i="116" s="1"/>
  <c r="D32" i="116"/>
  <c r="D34" i="116" s="1"/>
  <c r="D39" i="116" s="1"/>
  <c r="D65" i="116" s="1"/>
  <c r="D71" i="116" s="1"/>
  <c r="D32" i="112"/>
  <c r="D34" i="112" s="1"/>
  <c r="D39" i="112" s="1"/>
  <c r="M166" i="124"/>
  <c r="AY252" i="124"/>
  <c r="M6" i="168"/>
  <c r="M5" i="168"/>
  <c r="N55" i="172"/>
  <c r="M55" i="172"/>
  <c r="N186" i="172"/>
  <c r="M186" i="172"/>
  <c r="N52" i="172"/>
  <c r="M52" i="172"/>
  <c r="N183" i="172"/>
  <c r="M183" i="172"/>
  <c r="N130" i="172"/>
  <c r="M130" i="172"/>
  <c r="N76" i="172"/>
  <c r="M76" i="172"/>
  <c r="M75" i="133"/>
  <c r="M158" i="124"/>
  <c r="M150" i="124"/>
  <c r="M80" i="124"/>
  <c r="N95" i="172"/>
  <c r="N124" i="172"/>
  <c r="M36" i="133"/>
  <c r="M25" i="133"/>
  <c r="M40" i="133"/>
  <c r="M14" i="133"/>
  <c r="N163" i="172"/>
  <c r="N83" i="172"/>
  <c r="K71" i="116"/>
  <c r="I72" i="116"/>
  <c r="K72" i="116" s="1"/>
  <c r="N32" i="158"/>
  <c r="N34" i="158" s="1"/>
  <c r="N39" i="158" s="1"/>
  <c r="N65" i="158" s="1"/>
  <c r="N71" i="158" s="1"/>
  <c r="I32" i="112"/>
  <c r="I34" i="112" s="1"/>
  <c r="I39" i="112" s="1"/>
  <c r="M45" i="133"/>
  <c r="M66" i="133"/>
  <c r="M53" i="133"/>
  <c r="M49" i="124"/>
  <c r="M228" i="124"/>
  <c r="N164" i="172"/>
  <c r="M57" i="133"/>
  <c r="M32" i="133"/>
  <c r="M11" i="133"/>
  <c r="M49" i="133"/>
  <c r="M153" i="124"/>
  <c r="N187" i="172"/>
  <c r="N111" i="172"/>
  <c r="M64" i="124"/>
  <c r="M224" i="124"/>
  <c r="M188" i="124"/>
  <c r="N31" i="172"/>
  <c r="N159" i="172"/>
  <c r="N207" i="172"/>
  <c r="N84" i="172"/>
  <c r="N179" i="172"/>
  <c r="N149" i="172"/>
  <c r="N62" i="172"/>
  <c r="N43" i="172"/>
  <c r="N55" i="168"/>
  <c r="N239" i="172"/>
  <c r="N218" i="172"/>
  <c r="N146" i="172"/>
  <c r="N220" i="172"/>
  <c r="N99" i="172"/>
  <c r="N212" i="172"/>
  <c r="N148" i="172"/>
  <c r="N234" i="172"/>
  <c r="N71" i="172"/>
  <c r="M189" i="124"/>
  <c r="M187" i="124"/>
  <c r="M239" i="124"/>
  <c r="M13" i="133"/>
  <c r="M179" i="124"/>
  <c r="M55" i="124"/>
  <c r="M151" i="124"/>
  <c r="M167" i="124"/>
  <c r="M241" i="124"/>
  <c r="M76" i="124"/>
  <c r="M81" i="124"/>
  <c r="M240" i="124"/>
  <c r="M75" i="124"/>
  <c r="M156" i="124"/>
  <c r="M182" i="124"/>
  <c r="M79" i="124"/>
  <c r="M186" i="124"/>
  <c r="M22" i="133"/>
  <c r="M155" i="124"/>
  <c r="M154" i="124"/>
  <c r="M63" i="133"/>
  <c r="M29" i="133"/>
  <c r="M74" i="124"/>
  <c r="M181" i="124"/>
  <c r="M149" i="124"/>
  <c r="M184" i="124"/>
  <c r="M178" i="124"/>
  <c r="M56" i="124"/>
  <c r="M152" i="124"/>
  <c r="M54" i="124"/>
  <c r="M51" i="124"/>
  <c r="M77" i="124"/>
  <c r="M160" i="124"/>
  <c r="M10" i="133"/>
  <c r="M180" i="124"/>
  <c r="M12" i="133"/>
  <c r="M67" i="133"/>
  <c r="M28" i="133"/>
  <c r="M62" i="133"/>
  <c r="M73" i="133"/>
  <c r="M17" i="133"/>
  <c r="M70" i="133"/>
  <c r="M56" i="133"/>
  <c r="M20" i="133"/>
  <c r="N27" i="172"/>
  <c r="M190" i="124"/>
  <c r="M83" i="124"/>
  <c r="M185" i="124"/>
  <c r="M82" i="124"/>
  <c r="M159" i="124"/>
  <c r="M242" i="124"/>
  <c r="M53" i="124"/>
  <c r="M52" i="124"/>
  <c r="N13" i="172"/>
  <c r="N119" i="172"/>
  <c r="N204" i="172"/>
  <c r="N237" i="172"/>
  <c r="M162" i="124"/>
  <c r="M161" i="124"/>
  <c r="M164" i="124"/>
  <c r="N225" i="172"/>
  <c r="N37" i="172"/>
  <c r="N202" i="172"/>
  <c r="M163" i="124"/>
  <c r="N44" i="172"/>
  <c r="N63" i="172"/>
  <c r="N39" i="172"/>
  <c r="M231" i="124"/>
  <c r="M238" i="124"/>
  <c r="M96" i="124"/>
  <c r="M249" i="124"/>
  <c r="M95" i="124"/>
  <c r="M111" i="124"/>
  <c r="M92" i="124"/>
  <c r="M38" i="124"/>
  <c r="M250" i="124"/>
  <c r="M223" i="124"/>
  <c r="M235" i="124"/>
  <c r="M198" i="124"/>
  <c r="M48" i="124"/>
  <c r="M195" i="124"/>
  <c r="M227" i="124"/>
  <c r="M248" i="124"/>
  <c r="M196" i="124"/>
  <c r="M236" i="124"/>
  <c r="M91" i="124"/>
  <c r="M110" i="124"/>
  <c r="M222" i="124"/>
  <c r="M11" i="124"/>
  <c r="M246" i="124"/>
  <c r="M142" i="124"/>
  <c r="M200" i="124"/>
  <c r="M197" i="124"/>
  <c r="M237" i="124"/>
  <c r="M234" i="124"/>
  <c r="M42" i="133"/>
  <c r="M48" i="133"/>
  <c r="M39" i="133"/>
  <c r="M21" i="133"/>
  <c r="M71" i="133"/>
  <c r="M78" i="124"/>
  <c r="M72" i="133"/>
  <c r="M243" i="124"/>
  <c r="M74" i="133"/>
  <c r="M58" i="133"/>
  <c r="M30" i="133"/>
  <c r="M64" i="133"/>
  <c r="M33" i="133"/>
  <c r="M23" i="133"/>
  <c r="M16" i="133"/>
  <c r="M24" i="133"/>
  <c r="M69" i="133"/>
  <c r="M51" i="133"/>
  <c r="M9" i="133"/>
  <c r="M41" i="133"/>
  <c r="M47" i="133"/>
  <c r="M65" i="133"/>
  <c r="M52" i="133"/>
  <c r="M35" i="133"/>
  <c r="M15" i="133"/>
  <c r="M50" i="124"/>
  <c r="M38" i="133"/>
  <c r="M55" i="133"/>
  <c r="M19" i="133"/>
  <c r="M59" i="133"/>
  <c r="J5" i="133"/>
  <c r="M50" i="133"/>
  <c r="M31" i="133"/>
  <c r="M34" i="133"/>
  <c r="M60" i="133"/>
  <c r="J6" i="133"/>
  <c r="M44" i="133"/>
  <c r="M46" i="133"/>
  <c r="M37" i="133"/>
  <c r="M61" i="133"/>
  <c r="M68" i="133"/>
  <c r="M54" i="133"/>
  <c r="M43" i="133"/>
  <c r="M247" i="124"/>
  <c r="M23" i="124"/>
  <c r="M233" i="124"/>
  <c r="M93" i="124"/>
  <c r="M90" i="124"/>
  <c r="M122" i="124"/>
  <c r="M22" i="124"/>
  <c r="M47" i="124"/>
  <c r="M230" i="124"/>
  <c r="M226" i="124"/>
  <c r="M194" i="124"/>
  <c r="M57" i="124"/>
  <c r="M229" i="124"/>
  <c r="M232" i="124"/>
  <c r="M201" i="124"/>
  <c r="L5" i="124"/>
  <c r="M251" i="124"/>
  <c r="M245" i="124"/>
  <c r="N22" i="168"/>
  <c r="M27" i="133"/>
  <c r="AY77" i="133"/>
  <c r="N85" i="172"/>
  <c r="N108" i="172"/>
  <c r="N75" i="172"/>
  <c r="N143" i="172"/>
  <c r="N87" i="172"/>
  <c r="N116" i="172"/>
  <c r="N60" i="172"/>
  <c r="N140" i="172"/>
  <c r="N100" i="172"/>
  <c r="N242" i="172"/>
  <c r="N181" i="172"/>
  <c r="N147" i="172"/>
  <c r="N139" i="172"/>
  <c r="M244" i="124"/>
  <c r="L6" i="124"/>
  <c r="N59" i="172"/>
  <c r="N157" i="172"/>
  <c r="L5" i="133"/>
  <c r="L6" i="133"/>
  <c r="M26" i="133"/>
  <c r="N51" i="168"/>
  <c r="N203" i="172"/>
  <c r="N182" i="172"/>
  <c r="N61" i="172"/>
  <c r="N211" i="172"/>
  <c r="N195" i="172"/>
  <c r="N53" i="172"/>
  <c r="N30" i="172"/>
  <c r="N249" i="172"/>
  <c r="N109" i="172"/>
  <c r="N101" i="172"/>
  <c r="N189" i="172"/>
  <c r="N67" i="172"/>
  <c r="N155" i="172"/>
  <c r="N46" i="172"/>
  <c r="N158" i="172"/>
  <c r="N213" i="172"/>
  <c r="N141" i="172"/>
  <c r="N107" i="172"/>
  <c r="N14" i="172"/>
  <c r="N240" i="172"/>
  <c r="N126" i="172"/>
  <c r="N91" i="172"/>
  <c r="N17" i="172"/>
  <c r="N190" i="172"/>
  <c r="N152" i="172"/>
  <c r="N153" i="172"/>
  <c r="N36" i="172"/>
  <c r="N29" i="172"/>
  <c r="N161" i="172"/>
  <c r="N15" i="172"/>
  <c r="N10" i="172"/>
  <c r="N248" i="172"/>
  <c r="N32" i="172"/>
  <c r="N156" i="172"/>
  <c r="N165" i="172"/>
  <c r="N246" i="172"/>
  <c r="N238" i="172"/>
  <c r="N118" i="172"/>
  <c r="N34" i="172"/>
  <c r="N166" i="172"/>
  <c r="N129" i="172"/>
  <c r="N175" i="172"/>
  <c r="N79" i="172"/>
  <c r="N18" i="172"/>
  <c r="N150" i="172"/>
  <c r="Z6" i="133"/>
  <c r="Y7" i="133"/>
  <c r="K5" i="168"/>
  <c r="K6" i="168"/>
  <c r="N42" i="172"/>
  <c r="N114" i="172"/>
  <c r="N54" i="172"/>
  <c r="N160" i="172"/>
  <c r="N209" i="172"/>
  <c r="N104" i="172"/>
  <c r="N105" i="172"/>
  <c r="N81" i="172"/>
  <c r="N106" i="172"/>
  <c r="N144" i="172"/>
  <c r="N65" i="172"/>
  <c r="N98" i="172"/>
  <c r="N74" i="172"/>
  <c r="N58" i="172"/>
  <c r="N176" i="172"/>
  <c r="N193" i="172"/>
  <c r="N50" i="172"/>
  <c r="V7" i="124"/>
  <c r="W6" i="124"/>
  <c r="N10" i="168"/>
  <c r="N73" i="172"/>
  <c r="N24" i="172"/>
  <c r="N66" i="172"/>
  <c r="N12" i="172"/>
  <c r="N76" i="168"/>
  <c r="N20" i="172"/>
  <c r="N177" i="172"/>
  <c r="N51" i="172"/>
  <c r="N82" i="172"/>
  <c r="N77" i="172"/>
  <c r="N151" i="172"/>
  <c r="N162" i="172"/>
  <c r="N180" i="172"/>
  <c r="N42" i="168"/>
  <c r="N72" i="172"/>
  <c r="N80" i="172"/>
  <c r="N178" i="172"/>
  <c r="N37" i="168"/>
  <c r="N188" i="172"/>
  <c r="N184" i="172"/>
  <c r="N59" i="168"/>
  <c r="N167" i="172"/>
  <c r="N185" i="172"/>
  <c r="N24" i="168"/>
  <c r="N17" i="168"/>
  <c r="N75" i="168"/>
  <c r="N154" i="172"/>
  <c r="N41" i="168"/>
  <c r="N49" i="168"/>
  <c r="N48" i="168"/>
  <c r="N53" i="168"/>
  <c r="N56" i="168"/>
  <c r="N54" i="168"/>
  <c r="N21" i="168"/>
  <c r="N47" i="168"/>
  <c r="N69" i="168"/>
  <c r="N39" i="168"/>
  <c r="N63" i="168"/>
  <c r="N61" i="168"/>
  <c r="N78" i="172"/>
  <c r="N25" i="168"/>
  <c r="N73" i="168"/>
  <c r="N72" i="168"/>
  <c r="N15" i="168"/>
  <c r="N66" i="168"/>
  <c r="N74" i="168"/>
  <c r="N32" i="168"/>
  <c r="N64" i="168"/>
  <c r="N46" i="168"/>
  <c r="N30" i="168"/>
  <c r="N68" i="168"/>
  <c r="N38" i="168"/>
  <c r="N26" i="168"/>
  <c r="N8" i="168"/>
  <c r="N16" i="168"/>
  <c r="N36" i="168"/>
  <c r="N67" i="168"/>
  <c r="N65" i="168"/>
  <c r="N34" i="168"/>
  <c r="N33" i="168"/>
  <c r="N45" i="168"/>
  <c r="N12" i="168"/>
  <c r="N20" i="168"/>
  <c r="N50" i="168"/>
  <c r="N40" i="168"/>
  <c r="N14" i="168"/>
  <c r="N44" i="168"/>
  <c r="N11" i="168"/>
  <c r="N70" i="168"/>
  <c r="N29" i="168"/>
  <c r="N23" i="168"/>
  <c r="N52" i="168"/>
  <c r="N27" i="168"/>
  <c r="N31" i="168"/>
  <c r="N60" i="168"/>
  <c r="N9" i="168"/>
  <c r="N57" i="168"/>
  <c r="N28" i="168"/>
  <c r="N58" i="168"/>
  <c r="N19" i="168"/>
  <c r="N18" i="168"/>
  <c r="N62" i="168"/>
  <c r="N43" i="168"/>
  <c r="N35" i="168"/>
  <c r="N13" i="168"/>
  <c r="N71" i="168"/>
  <c r="N89" i="172"/>
  <c r="N26" i="172"/>
  <c r="N102" i="172"/>
  <c r="N19" i="172"/>
  <c r="N112" i="172"/>
  <c r="N127" i="172"/>
  <c r="N103" i="172"/>
  <c r="N115" i="172"/>
  <c r="N8" i="172"/>
  <c r="N250" i="172"/>
  <c r="N219" i="172"/>
  <c r="N192" i="172"/>
  <c r="N68" i="172"/>
  <c r="N171" i="172"/>
  <c r="N70" i="172"/>
  <c r="N69" i="172"/>
  <c r="N169" i="172"/>
  <c r="N123" i="172"/>
  <c r="N23" i="172"/>
  <c r="N206" i="172"/>
  <c r="N170" i="172"/>
  <c r="N121" i="172"/>
  <c r="N128" i="172"/>
  <c r="N41" i="172"/>
  <c r="N196" i="172"/>
  <c r="N172" i="172"/>
  <c r="N145" i="172"/>
  <c r="N113" i="172"/>
  <c r="N28" i="172"/>
  <c r="N21" i="172"/>
  <c r="N173" i="172"/>
  <c r="N226" i="172"/>
  <c r="N216" i="172"/>
  <c r="N168" i="172"/>
  <c r="N25" i="172"/>
  <c r="N205" i="172"/>
  <c r="N90" i="172"/>
  <c r="N210" i="172"/>
  <c r="N97" i="172"/>
  <c r="N86" i="172"/>
  <c r="N117" i="172"/>
  <c r="N40" i="172"/>
  <c r="N221" i="172"/>
  <c r="N235" i="172"/>
  <c r="N35" i="172"/>
  <c r="N222" i="172"/>
  <c r="N88" i="172"/>
  <c r="N223" i="172"/>
  <c r="N9" i="172"/>
  <c r="N125" i="172"/>
  <c r="N45" i="172"/>
  <c r="N33" i="172"/>
  <c r="N233" i="172"/>
  <c r="N16" i="172"/>
  <c r="N122" i="172"/>
  <c r="N56" i="172"/>
  <c r="N120" i="172"/>
  <c r="K5" i="172"/>
  <c r="K6" i="172"/>
  <c r="I225" i="124" l="1"/>
  <c r="J225" i="124" s="1"/>
  <c r="M225" i="124" s="1"/>
  <c r="I170" i="124"/>
  <c r="J170" i="124" s="1"/>
  <c r="M170" i="124" s="1"/>
  <c r="N72" i="116"/>
  <c r="P72" i="116" s="1"/>
  <c r="I219" i="124"/>
  <c r="J219" i="124" s="1"/>
  <c r="M219" i="124" s="1"/>
  <c r="I206" i="124"/>
  <c r="J206" i="124" s="1"/>
  <c r="M206" i="124" s="1"/>
  <c r="I191" i="124"/>
  <c r="J191" i="124" s="1"/>
  <c r="M191" i="124" s="1"/>
  <c r="I221" i="124"/>
  <c r="J221" i="124" s="1"/>
  <c r="M221" i="124" s="1"/>
  <c r="I217" i="124"/>
  <c r="J217" i="124" s="1"/>
  <c r="M217" i="124" s="1"/>
  <c r="I204" i="124"/>
  <c r="J204" i="124" s="1"/>
  <c r="M204" i="124" s="1"/>
  <c r="I213" i="124"/>
  <c r="J213" i="124" s="1"/>
  <c r="M213" i="124" s="1"/>
  <c r="E65" i="2"/>
  <c r="L73" i="173"/>
  <c r="E74" i="173"/>
  <c r="L74" i="173" s="1"/>
  <c r="G53" i="173"/>
  <c r="G54" i="173"/>
  <c r="E12" i="40"/>
  <c r="F71" i="158"/>
  <c r="D72" i="158"/>
  <c r="F72" i="158" s="1"/>
  <c r="L74" i="106"/>
  <c r="E75" i="106"/>
  <c r="L75" i="106" s="1"/>
  <c r="F71" i="116"/>
  <c r="D72" i="116"/>
  <c r="P71" i="158"/>
  <c r="N72" i="158"/>
  <c r="M6" i="133"/>
  <c r="K6" i="133" s="1"/>
  <c r="M5" i="133"/>
  <c r="K5" i="133" s="1"/>
  <c r="AA6" i="133"/>
  <c r="Z7" i="133"/>
  <c r="X6" i="124"/>
  <c r="W7" i="124"/>
  <c r="N6" i="168"/>
  <c r="L6" i="168" s="1"/>
  <c r="N5" i="168"/>
  <c r="L5" i="168" s="1"/>
  <c r="I16" i="124" l="1"/>
  <c r="J16" i="124" s="1"/>
  <c r="M16" i="124" s="1"/>
  <c r="I128" i="124"/>
  <c r="J128" i="124" s="1"/>
  <c r="M128" i="124" s="1"/>
  <c r="I25" i="124"/>
  <c r="J25" i="124" s="1"/>
  <c r="M25" i="124" s="1"/>
  <c r="I46" i="124"/>
  <c r="J46" i="124" s="1"/>
  <c r="M46" i="124" s="1"/>
  <c r="I123" i="124"/>
  <c r="J123" i="124" s="1"/>
  <c r="M123" i="124" s="1"/>
  <c r="I86" i="124"/>
  <c r="J86" i="124" s="1"/>
  <c r="M86" i="124" s="1"/>
  <c r="I109" i="124"/>
  <c r="J109" i="124" s="1"/>
  <c r="M109" i="124" s="1"/>
  <c r="I63" i="124"/>
  <c r="J63" i="124" s="1"/>
  <c r="M63" i="124" s="1"/>
  <c r="I9" i="124"/>
  <c r="J9" i="124" s="1"/>
  <c r="I130" i="124"/>
  <c r="J130" i="124" s="1"/>
  <c r="M130" i="124" s="1"/>
  <c r="I58" i="124"/>
  <c r="J58" i="124" s="1"/>
  <c r="M58" i="124" s="1"/>
  <c r="I62" i="124"/>
  <c r="J62" i="124" s="1"/>
  <c r="M62" i="124" s="1"/>
  <c r="I124" i="124"/>
  <c r="J124" i="124" s="1"/>
  <c r="M124" i="124" s="1"/>
  <c r="I97" i="124"/>
  <c r="J97" i="124" s="1"/>
  <c r="M97" i="124" s="1"/>
  <c r="I29" i="124"/>
  <c r="J29" i="124" s="1"/>
  <c r="M29" i="124" s="1"/>
  <c r="I113" i="124"/>
  <c r="J113" i="124" s="1"/>
  <c r="M113" i="124" s="1"/>
  <c r="I175" i="124"/>
  <c r="J175" i="124" s="1"/>
  <c r="M175" i="124" s="1"/>
  <c r="I28" i="124"/>
  <c r="J28" i="124" s="1"/>
  <c r="M28" i="124" s="1"/>
  <c r="I129" i="124"/>
  <c r="J129" i="124" s="1"/>
  <c r="M129" i="124" s="1"/>
  <c r="I140" i="124"/>
  <c r="J140" i="124" s="1"/>
  <c r="M140" i="124" s="1"/>
  <c r="I139" i="124"/>
  <c r="J139" i="124" s="1"/>
  <c r="M139" i="124" s="1"/>
  <c r="I143" i="124"/>
  <c r="J143" i="124" s="1"/>
  <c r="M143" i="124" s="1"/>
  <c r="I26" i="124"/>
  <c r="J26" i="124" s="1"/>
  <c r="M26" i="124" s="1"/>
  <c r="I144" i="124"/>
  <c r="J144" i="124" s="1"/>
  <c r="M144" i="124" s="1"/>
  <c r="I10" i="124"/>
  <c r="J10" i="124" s="1"/>
  <c r="M10" i="124" s="1"/>
  <c r="I24" i="124"/>
  <c r="J24" i="124" s="1"/>
  <c r="M24" i="124" s="1"/>
  <c r="I177" i="124"/>
  <c r="J177" i="124" s="1"/>
  <c r="M177" i="124" s="1"/>
  <c r="I85" i="124"/>
  <c r="J85" i="124" s="1"/>
  <c r="M85" i="124" s="1"/>
  <c r="I71" i="124"/>
  <c r="J71" i="124" s="1"/>
  <c r="M71" i="124" s="1"/>
  <c r="I173" i="124"/>
  <c r="J173" i="124" s="1"/>
  <c r="M173" i="124" s="1"/>
  <c r="I37" i="124"/>
  <c r="J37" i="124" s="1"/>
  <c r="M37" i="124" s="1"/>
  <c r="I112" i="124"/>
  <c r="J112" i="124" s="1"/>
  <c r="M112" i="124" s="1"/>
  <c r="I176" i="124"/>
  <c r="J176" i="124" s="1"/>
  <c r="M176" i="124" s="1"/>
  <c r="I40" i="124"/>
  <c r="J40" i="124" s="1"/>
  <c r="M40" i="124" s="1"/>
  <c r="I27" i="124"/>
  <c r="J27" i="124" s="1"/>
  <c r="M27" i="124" s="1"/>
  <c r="I115" i="124"/>
  <c r="J115" i="124" s="1"/>
  <c r="M115" i="124" s="1"/>
  <c r="I87" i="124"/>
  <c r="J87" i="124" s="1"/>
  <c r="M87" i="124" s="1"/>
  <c r="I61" i="124"/>
  <c r="J61" i="124" s="1"/>
  <c r="M61" i="124" s="1"/>
  <c r="I172" i="124"/>
  <c r="J172" i="124" s="1"/>
  <c r="M172" i="124" s="1"/>
  <c r="I103" i="124"/>
  <c r="J103" i="124" s="1"/>
  <c r="M103" i="124" s="1"/>
  <c r="I121" i="124"/>
  <c r="J121" i="124" s="1"/>
  <c r="M121" i="124" s="1"/>
  <c r="I125" i="124"/>
  <c r="J125" i="124" s="1"/>
  <c r="M125" i="124" s="1"/>
  <c r="I36" i="124"/>
  <c r="J36" i="124" s="1"/>
  <c r="M36" i="124" s="1"/>
  <c r="I88" i="124"/>
  <c r="J88" i="124" s="1"/>
  <c r="M88" i="124" s="1"/>
  <c r="I59" i="124"/>
  <c r="J59" i="124" s="1"/>
  <c r="M59" i="124" s="1"/>
  <c r="I126" i="124"/>
  <c r="J126" i="124" s="1"/>
  <c r="M126" i="124" s="1"/>
  <c r="I114" i="124"/>
  <c r="J114" i="124" s="1"/>
  <c r="M114" i="124" s="1"/>
  <c r="I65" i="124"/>
  <c r="J65" i="124" s="1"/>
  <c r="M65" i="124" s="1"/>
  <c r="F72" i="116"/>
  <c r="F77" i="116" s="1"/>
  <c r="F78" i="116"/>
  <c r="P72" i="158"/>
  <c r="F77" i="158" s="1"/>
  <c r="F78" i="158"/>
  <c r="AA7" i="133"/>
  <c r="AB6" i="133"/>
  <c r="X7" i="124"/>
  <c r="Y6" i="124"/>
  <c r="M9" i="124" l="1"/>
  <c r="J5" i="124"/>
  <c r="J6" i="124"/>
  <c r="L4" i="134"/>
  <c r="J58" i="2"/>
  <c r="L4" i="125"/>
  <c r="O3" i="168"/>
  <c r="O3" i="172"/>
  <c r="J56" i="2"/>
  <c r="AC6" i="133"/>
  <c r="AB7" i="133"/>
  <c r="Z6" i="124"/>
  <c r="Y7" i="124"/>
  <c r="M6" i="124" l="1"/>
  <c r="D63" i="2" s="1"/>
  <c r="M5" i="124"/>
  <c r="K5" i="124" s="1"/>
  <c r="L75" i="134"/>
  <c r="L63" i="134"/>
  <c r="L27" i="134"/>
  <c r="L26" i="134"/>
  <c r="L30" i="134"/>
  <c r="L13" i="134"/>
  <c r="L70" i="134"/>
  <c r="L40" i="134"/>
  <c r="L43" i="134"/>
  <c r="L23" i="134"/>
  <c r="L19" i="134"/>
  <c r="L51" i="134"/>
  <c r="L9" i="134"/>
  <c r="L56" i="134"/>
  <c r="L72" i="134"/>
  <c r="L54" i="134"/>
  <c r="L28" i="134"/>
  <c r="L67" i="134"/>
  <c r="L55" i="134"/>
  <c r="L68" i="134"/>
  <c r="L16" i="134"/>
  <c r="L25" i="134"/>
  <c r="L10" i="134"/>
  <c r="L8" i="134"/>
  <c r="L32" i="134"/>
  <c r="L69" i="134"/>
  <c r="L47" i="134"/>
  <c r="L58" i="134"/>
  <c r="L50" i="134"/>
  <c r="L29" i="134"/>
  <c r="L53" i="134"/>
  <c r="L64" i="134"/>
  <c r="L60" i="134"/>
  <c r="L35" i="134"/>
  <c r="L20" i="134"/>
  <c r="L61" i="134"/>
  <c r="L38" i="134"/>
  <c r="L65" i="134"/>
  <c r="L52" i="134"/>
  <c r="L44" i="134"/>
  <c r="L33" i="134"/>
  <c r="L62" i="134"/>
  <c r="L21" i="134"/>
  <c r="L31" i="134"/>
  <c r="L57" i="134"/>
  <c r="L76" i="134"/>
  <c r="L15" i="134"/>
  <c r="L71" i="134"/>
  <c r="L74" i="134"/>
  <c r="L39" i="134"/>
  <c r="L73" i="134"/>
  <c r="L48" i="134"/>
  <c r="L17" i="134"/>
  <c r="L45" i="134"/>
  <c r="L59" i="134"/>
  <c r="L24" i="134"/>
  <c r="L34" i="134"/>
  <c r="L14" i="134"/>
  <c r="L11" i="134"/>
  <c r="L36" i="134"/>
  <c r="L37" i="134"/>
  <c r="L22" i="134"/>
  <c r="L18" i="134"/>
  <c r="L41" i="134"/>
  <c r="L42" i="134"/>
  <c r="L12" i="134"/>
  <c r="L66" i="134"/>
  <c r="L49" i="134"/>
  <c r="L46" i="134"/>
  <c r="L133" i="125"/>
  <c r="L141" i="125"/>
  <c r="L92" i="125"/>
  <c r="L95" i="125"/>
  <c r="L196" i="125"/>
  <c r="L84" i="125"/>
  <c r="L145" i="125"/>
  <c r="L136" i="125"/>
  <c r="L164" i="125"/>
  <c r="L186" i="125"/>
  <c r="L230" i="125"/>
  <c r="L147" i="125"/>
  <c r="L77" i="125"/>
  <c r="L165" i="125"/>
  <c r="L105" i="125"/>
  <c r="L207" i="125"/>
  <c r="L71" i="125"/>
  <c r="L118" i="125"/>
  <c r="L177" i="125"/>
  <c r="L67" i="125"/>
  <c r="L36" i="125"/>
  <c r="L160" i="125"/>
  <c r="L110" i="125"/>
  <c r="L202" i="125"/>
  <c r="L187" i="125"/>
  <c r="L100" i="125"/>
  <c r="L129" i="125"/>
  <c r="L208" i="125"/>
  <c r="L96" i="125"/>
  <c r="L234" i="125"/>
  <c r="L238" i="125"/>
  <c r="L11" i="125"/>
  <c r="L206" i="125"/>
  <c r="L140" i="125"/>
  <c r="L39" i="125"/>
  <c r="L192" i="125"/>
  <c r="L203" i="125"/>
  <c r="L236" i="125"/>
  <c r="L233" i="125"/>
  <c r="L38" i="125"/>
  <c r="L175" i="125"/>
  <c r="L59" i="125"/>
  <c r="L144" i="125"/>
  <c r="L66" i="125"/>
  <c r="L57" i="125"/>
  <c r="L49" i="125"/>
  <c r="L26" i="125"/>
  <c r="L158" i="125"/>
  <c r="L172" i="125"/>
  <c r="L63" i="125"/>
  <c r="L157" i="125"/>
  <c r="L48" i="125"/>
  <c r="L42" i="125"/>
  <c r="L31" i="125"/>
  <c r="L155" i="125"/>
  <c r="L121" i="125"/>
  <c r="L34" i="125"/>
  <c r="L161" i="125"/>
  <c r="L102" i="125"/>
  <c r="L224" i="125"/>
  <c r="L248" i="125"/>
  <c r="L115" i="125"/>
  <c r="L24" i="125"/>
  <c r="L90" i="125"/>
  <c r="L65" i="125"/>
  <c r="L214" i="125"/>
  <c r="L46" i="125"/>
  <c r="L149" i="125"/>
  <c r="L216" i="125"/>
  <c r="L114" i="125"/>
  <c r="L130" i="125"/>
  <c r="L44" i="125"/>
  <c r="L55" i="125"/>
  <c r="L131" i="125"/>
  <c r="L213" i="125"/>
  <c r="L204" i="125"/>
  <c r="L9" i="125"/>
  <c r="L103" i="125"/>
  <c r="L146" i="125"/>
  <c r="L201" i="125"/>
  <c r="L151" i="125"/>
  <c r="L97" i="125"/>
  <c r="L240" i="125"/>
  <c r="L21" i="125"/>
  <c r="L56" i="125"/>
  <c r="L58" i="125"/>
  <c r="L53" i="125"/>
  <c r="L244" i="125"/>
  <c r="L61" i="125"/>
  <c r="L122" i="125"/>
  <c r="L239" i="125"/>
  <c r="L33" i="125"/>
  <c r="L107" i="125"/>
  <c r="L28" i="125"/>
  <c r="L250" i="125"/>
  <c r="L242" i="125"/>
  <c r="L106" i="125"/>
  <c r="L25" i="125"/>
  <c r="L211" i="125"/>
  <c r="L93" i="125"/>
  <c r="L156" i="125"/>
  <c r="L101" i="125"/>
  <c r="L210" i="125"/>
  <c r="L74" i="125"/>
  <c r="L43" i="125"/>
  <c r="L32" i="125"/>
  <c r="L174" i="125"/>
  <c r="L20" i="125"/>
  <c r="L171" i="125"/>
  <c r="L179" i="125"/>
  <c r="L50" i="125"/>
  <c r="L54" i="125"/>
  <c r="L80" i="125"/>
  <c r="L15" i="125"/>
  <c r="L51" i="125"/>
  <c r="L124" i="125"/>
  <c r="L183" i="125"/>
  <c r="L205" i="125"/>
  <c r="L13" i="125"/>
  <c r="L132" i="125"/>
  <c r="L188" i="125"/>
  <c r="L37" i="125"/>
  <c r="L119" i="125"/>
  <c r="L138" i="125"/>
  <c r="L148" i="125"/>
  <c r="L152" i="125"/>
  <c r="L113" i="125"/>
  <c r="L116" i="125"/>
  <c r="L99" i="125"/>
  <c r="L215" i="125"/>
  <c r="L139" i="125"/>
  <c r="L123" i="125"/>
  <c r="L231" i="125"/>
  <c r="L87" i="125"/>
  <c r="L29" i="125"/>
  <c r="L111" i="125"/>
  <c r="L168" i="125"/>
  <c r="L27" i="125"/>
  <c r="L181" i="125"/>
  <c r="L241" i="125"/>
  <c r="L185" i="125"/>
  <c r="L226" i="125"/>
  <c r="L237" i="125"/>
  <c r="L88" i="125"/>
  <c r="L10" i="125"/>
  <c r="L35" i="125"/>
  <c r="L190" i="125"/>
  <c r="L228" i="125"/>
  <c r="L182" i="125"/>
  <c r="L75" i="125"/>
  <c r="L98" i="125"/>
  <c r="L150" i="125"/>
  <c r="L64" i="125"/>
  <c r="L170" i="125"/>
  <c r="L167" i="125"/>
  <c r="L251" i="125"/>
  <c r="L142" i="125"/>
  <c r="L16" i="125"/>
  <c r="L72" i="125"/>
  <c r="L184" i="125"/>
  <c r="L73" i="125"/>
  <c r="L104" i="125"/>
  <c r="L108" i="125"/>
  <c r="L40" i="125"/>
  <c r="L159" i="125"/>
  <c r="L52" i="125"/>
  <c r="L126" i="125"/>
  <c r="L166" i="125"/>
  <c r="L143" i="125"/>
  <c r="L22" i="125"/>
  <c r="L91" i="125"/>
  <c r="L109" i="125"/>
  <c r="L200" i="125"/>
  <c r="L209" i="125"/>
  <c r="L70" i="125"/>
  <c r="L243" i="125"/>
  <c r="L76" i="125"/>
  <c r="L245" i="125"/>
  <c r="L198" i="125"/>
  <c r="L19" i="125"/>
  <c r="L127" i="125"/>
  <c r="L30" i="125"/>
  <c r="L163" i="125"/>
  <c r="L193" i="125"/>
  <c r="L14" i="125"/>
  <c r="L223" i="125"/>
  <c r="L135" i="125"/>
  <c r="L86" i="125"/>
  <c r="L78" i="125"/>
  <c r="L94" i="125"/>
  <c r="L8" i="125"/>
  <c r="L69" i="125"/>
  <c r="L134" i="125"/>
  <c r="L18" i="125"/>
  <c r="L218" i="125"/>
  <c r="L232" i="125"/>
  <c r="L79" i="125"/>
  <c r="L217" i="125"/>
  <c r="L23" i="125"/>
  <c r="L162" i="125"/>
  <c r="L212" i="125"/>
  <c r="L180" i="125"/>
  <c r="L199" i="125"/>
  <c r="L62" i="125"/>
  <c r="L45" i="125"/>
  <c r="L178" i="125"/>
  <c r="L112" i="125"/>
  <c r="L194" i="125"/>
  <c r="L17" i="125"/>
  <c r="L153" i="125"/>
  <c r="L173" i="125"/>
  <c r="L128" i="125"/>
  <c r="L89" i="125"/>
  <c r="L191" i="125"/>
  <c r="L60" i="125"/>
  <c r="L85" i="125"/>
  <c r="L12" i="125"/>
  <c r="L197" i="125"/>
  <c r="L189" i="125"/>
  <c r="L125" i="125"/>
  <c r="L222" i="125"/>
  <c r="L225" i="125"/>
  <c r="L247" i="125"/>
  <c r="L83" i="125"/>
  <c r="L229" i="125"/>
  <c r="L120" i="125"/>
  <c r="L41" i="125"/>
  <c r="L68" i="125"/>
  <c r="L221" i="125"/>
  <c r="L176" i="125"/>
  <c r="L246" i="125"/>
  <c r="L169" i="125"/>
  <c r="L81" i="125"/>
  <c r="L220" i="125"/>
  <c r="L219" i="125"/>
  <c r="L154" i="125"/>
  <c r="L227" i="125"/>
  <c r="L47" i="125"/>
  <c r="L82" i="125"/>
  <c r="L249" i="125"/>
  <c r="L137" i="125"/>
  <c r="L235" i="125"/>
  <c r="L195" i="125"/>
  <c r="L117" i="125"/>
  <c r="O182" i="172"/>
  <c r="O104" i="172"/>
  <c r="O54" i="172"/>
  <c r="O94" i="172"/>
  <c r="O59" i="172"/>
  <c r="O228" i="172"/>
  <c r="O226" i="172"/>
  <c r="O202" i="172"/>
  <c r="O141" i="172"/>
  <c r="O155" i="172"/>
  <c r="O96" i="172"/>
  <c r="O101" i="172"/>
  <c r="O181" i="172"/>
  <c r="O26" i="172"/>
  <c r="O143" i="172"/>
  <c r="O78" i="172"/>
  <c r="O89" i="172"/>
  <c r="O90" i="172"/>
  <c r="O189" i="172"/>
  <c r="O172" i="172"/>
  <c r="O23" i="172"/>
  <c r="O194" i="172"/>
  <c r="O236" i="172"/>
  <c r="O22" i="172"/>
  <c r="O107" i="172"/>
  <c r="O77" i="172"/>
  <c r="O36" i="172"/>
  <c r="O135" i="172"/>
  <c r="O106" i="172"/>
  <c r="O206" i="172"/>
  <c r="O117" i="172"/>
  <c r="O142" i="172"/>
  <c r="O187" i="172"/>
  <c r="O69" i="172"/>
  <c r="O129" i="172"/>
  <c r="O220" i="172"/>
  <c r="O146" i="172"/>
  <c r="O123" i="172"/>
  <c r="O201" i="172"/>
  <c r="O198" i="172"/>
  <c r="O210" i="172"/>
  <c r="O173" i="172"/>
  <c r="O229" i="172"/>
  <c r="O154" i="172"/>
  <c r="O231" i="172"/>
  <c r="O118" i="172"/>
  <c r="O110" i="172"/>
  <c r="O241" i="172"/>
  <c r="O28" i="172"/>
  <c r="O249" i="172"/>
  <c r="O205" i="172"/>
  <c r="O65" i="172"/>
  <c r="O53" i="172"/>
  <c r="O68" i="172"/>
  <c r="O88" i="172"/>
  <c r="O121" i="172"/>
  <c r="O120" i="172"/>
  <c r="O76" i="172"/>
  <c r="O168" i="172"/>
  <c r="O95" i="172"/>
  <c r="O170" i="172"/>
  <c r="O115" i="172"/>
  <c r="O162" i="172"/>
  <c r="O216" i="172"/>
  <c r="O148" i="172"/>
  <c r="O35" i="172"/>
  <c r="O209" i="172"/>
  <c r="O103" i="172"/>
  <c r="O239" i="172"/>
  <c r="O55" i="172"/>
  <c r="O42" i="172"/>
  <c r="O133" i="172"/>
  <c r="O197" i="172"/>
  <c r="O125" i="172"/>
  <c r="O184" i="172"/>
  <c r="O223" i="172"/>
  <c r="O137" i="172"/>
  <c r="O126" i="172"/>
  <c r="O15" i="172"/>
  <c r="O132" i="172"/>
  <c r="O247" i="172"/>
  <c r="O145" i="172"/>
  <c r="O20" i="172"/>
  <c r="O57" i="172"/>
  <c r="O150" i="172"/>
  <c r="O171" i="172"/>
  <c r="O204" i="172"/>
  <c r="O11" i="172"/>
  <c r="O230" i="172"/>
  <c r="O208" i="172"/>
  <c r="O34" i="172"/>
  <c r="O191" i="172"/>
  <c r="O138" i="172"/>
  <c r="O233" i="172"/>
  <c r="O243" i="172"/>
  <c r="O177" i="172"/>
  <c r="O128" i="172"/>
  <c r="O33" i="172"/>
  <c r="O56" i="172"/>
  <c r="O122" i="172"/>
  <c r="O250" i="172"/>
  <c r="O92" i="172"/>
  <c r="O218" i="172"/>
  <c r="O207" i="172"/>
  <c r="O188" i="172"/>
  <c r="O195" i="172"/>
  <c r="O147" i="172"/>
  <c r="O43" i="172"/>
  <c r="O85" i="172"/>
  <c r="O58" i="172"/>
  <c r="O47" i="172"/>
  <c r="O27" i="172"/>
  <c r="O180" i="172"/>
  <c r="O235" i="172"/>
  <c r="O87" i="172"/>
  <c r="O73" i="172"/>
  <c r="O8" i="172"/>
  <c r="O196" i="172"/>
  <c r="O242" i="172"/>
  <c r="O203" i="172"/>
  <c r="O112" i="172"/>
  <c r="O21" i="172"/>
  <c r="O246" i="172"/>
  <c r="O167" i="172"/>
  <c r="O163" i="172"/>
  <c r="O111" i="172"/>
  <c r="O83" i="172"/>
  <c r="O169" i="172"/>
  <c r="O140" i="172"/>
  <c r="O100" i="172"/>
  <c r="O99" i="172"/>
  <c r="O29" i="172"/>
  <c r="O227" i="172"/>
  <c r="O48" i="172"/>
  <c r="O214" i="172"/>
  <c r="O158" i="172"/>
  <c r="O10" i="172"/>
  <c r="O67" i="172"/>
  <c r="O75" i="172"/>
  <c r="O16" i="172"/>
  <c r="O72" i="172"/>
  <c r="O24" i="172"/>
  <c r="O245" i="172"/>
  <c r="O240" i="172"/>
  <c r="O200" i="172"/>
  <c r="O45" i="172"/>
  <c r="O224" i="172"/>
  <c r="O91" i="172"/>
  <c r="O71" i="172"/>
  <c r="O174" i="172"/>
  <c r="O176" i="172"/>
  <c r="O17" i="172"/>
  <c r="O52" i="172"/>
  <c r="O159" i="172"/>
  <c r="O97" i="172"/>
  <c r="O98" i="172"/>
  <c r="O219" i="172"/>
  <c r="O39" i="172"/>
  <c r="O136" i="172"/>
  <c r="O152" i="172"/>
  <c r="O199" i="172"/>
  <c r="O41" i="172"/>
  <c r="O9" i="172"/>
  <c r="O183" i="172"/>
  <c r="O221" i="172"/>
  <c r="O46" i="172"/>
  <c r="O60" i="172"/>
  <c r="O127" i="172"/>
  <c r="O50" i="172"/>
  <c r="O149" i="172"/>
  <c r="O62" i="172"/>
  <c r="O66" i="172"/>
  <c r="O70" i="172"/>
  <c r="O82" i="172"/>
  <c r="O49" i="172"/>
  <c r="O119" i="172"/>
  <c r="O166" i="172"/>
  <c r="O244" i="172"/>
  <c r="O160" i="172"/>
  <c r="O234" i="172"/>
  <c r="O193" i="172"/>
  <c r="O215" i="172"/>
  <c r="O31" i="172"/>
  <c r="O161" i="172"/>
  <c r="O164" i="172"/>
  <c r="O113" i="172"/>
  <c r="O186" i="172"/>
  <c r="O139" i="172"/>
  <c r="O225" i="172"/>
  <c r="O93" i="172"/>
  <c r="O18" i="172"/>
  <c r="O108" i="172"/>
  <c r="O179" i="172"/>
  <c r="O211" i="172"/>
  <c r="O64" i="172"/>
  <c r="O192" i="172"/>
  <c r="O109" i="172"/>
  <c r="O40" i="172"/>
  <c r="O251" i="172"/>
  <c r="O222" i="172"/>
  <c r="O44" i="172"/>
  <c r="O80" i="172"/>
  <c r="O13" i="172"/>
  <c r="O32" i="172"/>
  <c r="O157" i="172"/>
  <c r="O131" i="172"/>
  <c r="O114" i="172"/>
  <c r="O190" i="172"/>
  <c r="O151" i="172"/>
  <c r="O144" i="172"/>
  <c r="O175" i="172"/>
  <c r="O156" i="172"/>
  <c r="O38" i="172"/>
  <c r="O153" i="172"/>
  <c r="O102" i="172"/>
  <c r="O130" i="172"/>
  <c r="O185" i="172"/>
  <c r="O238" i="172"/>
  <c r="O63" i="172"/>
  <c r="O217" i="172"/>
  <c r="O79" i="172"/>
  <c r="O212" i="172"/>
  <c r="O105" i="172"/>
  <c r="O116" i="172"/>
  <c r="O19" i="172"/>
  <c r="O248" i="172"/>
  <c r="O81" i="172"/>
  <c r="O25" i="172"/>
  <c r="O124" i="172"/>
  <c r="O14" i="172"/>
  <c r="O178" i="172"/>
  <c r="O30" i="172"/>
  <c r="O237" i="172"/>
  <c r="O61" i="172"/>
  <c r="O213" i="172"/>
  <c r="O51" i="172"/>
  <c r="O232" i="172"/>
  <c r="O74" i="172"/>
  <c r="O84" i="172"/>
  <c r="O37" i="172"/>
  <c r="O86" i="172"/>
  <c r="O12" i="172"/>
  <c r="O165" i="172"/>
  <c r="O134" i="172"/>
  <c r="O50" i="168"/>
  <c r="O35" i="168"/>
  <c r="O75" i="168"/>
  <c r="O65" i="168"/>
  <c r="O63" i="168"/>
  <c r="O46" i="168"/>
  <c r="O66" i="168"/>
  <c r="O34" i="168"/>
  <c r="O10" i="168"/>
  <c r="O58" i="168"/>
  <c r="O41" i="168"/>
  <c r="O13" i="168"/>
  <c r="O25" i="168"/>
  <c r="O71" i="168"/>
  <c r="O76" i="168"/>
  <c r="O9" i="168"/>
  <c r="O67" i="168"/>
  <c r="O28" i="168"/>
  <c r="O12" i="168"/>
  <c r="O30" i="168"/>
  <c r="O40" i="168"/>
  <c r="O17" i="168"/>
  <c r="O55" i="168"/>
  <c r="O39" i="168"/>
  <c r="O59" i="168"/>
  <c r="O53" i="168"/>
  <c r="O36" i="168"/>
  <c r="O31" i="168"/>
  <c r="O21" i="168"/>
  <c r="O33" i="168"/>
  <c r="O61" i="168"/>
  <c r="O24" i="168"/>
  <c r="O68" i="168"/>
  <c r="O70" i="168"/>
  <c r="O23" i="168"/>
  <c r="O27" i="168"/>
  <c r="O37" i="168"/>
  <c r="O29" i="168"/>
  <c r="O15" i="168"/>
  <c r="O72" i="168"/>
  <c r="O32" i="168"/>
  <c r="O47" i="168"/>
  <c r="O54" i="168"/>
  <c r="O45" i="168"/>
  <c r="O8" i="168"/>
  <c r="O74" i="168"/>
  <c r="O43" i="168"/>
  <c r="O38" i="168"/>
  <c r="O73" i="168"/>
  <c r="O18" i="168"/>
  <c r="O44" i="168"/>
  <c r="O69" i="168"/>
  <c r="O16" i="168"/>
  <c r="O56" i="168"/>
  <c r="O49" i="168"/>
  <c r="O57" i="168"/>
  <c r="O48" i="168"/>
  <c r="O60" i="168"/>
  <c r="O52" i="168"/>
  <c r="O62" i="168"/>
  <c r="O64" i="168"/>
  <c r="O14" i="168"/>
  <c r="O42" i="168"/>
  <c r="O11" i="168"/>
  <c r="O20" i="168"/>
  <c r="O26" i="168"/>
  <c r="O22" i="168"/>
  <c r="O51" i="168"/>
  <c r="O19" i="168"/>
  <c r="AD6" i="133"/>
  <c r="AC7" i="133"/>
  <c r="AA6" i="124"/>
  <c r="Z7" i="124"/>
  <c r="K6" i="124" l="1"/>
  <c r="N62" i="125"/>
  <c r="O62" i="125"/>
  <c r="M62" i="125"/>
  <c r="O138" i="125"/>
  <c r="M138" i="125"/>
  <c r="N138" i="125"/>
  <c r="O235" i="125"/>
  <c r="M235" i="125"/>
  <c r="N235" i="125"/>
  <c r="O120" i="125"/>
  <c r="N120" i="125"/>
  <c r="M120" i="125"/>
  <c r="M153" i="125"/>
  <c r="O153" i="125"/>
  <c r="N153" i="125"/>
  <c r="M18" i="125"/>
  <c r="N18" i="125"/>
  <c r="O18" i="125"/>
  <c r="M245" i="125"/>
  <c r="N245" i="125"/>
  <c r="O245" i="125"/>
  <c r="N104" i="125"/>
  <c r="O104" i="125"/>
  <c r="M104" i="125"/>
  <c r="O35" i="125"/>
  <c r="M35" i="125"/>
  <c r="N35" i="125"/>
  <c r="M215" i="125"/>
  <c r="N215" i="125"/>
  <c r="O215" i="125"/>
  <c r="N15" i="125"/>
  <c r="O15" i="125"/>
  <c r="M15" i="125"/>
  <c r="O25" i="125"/>
  <c r="N25" i="125"/>
  <c r="M25" i="125"/>
  <c r="M97" i="125"/>
  <c r="O97" i="125"/>
  <c r="N97" i="125"/>
  <c r="N214" i="125"/>
  <c r="O214" i="125"/>
  <c r="M214" i="125"/>
  <c r="O63" i="125"/>
  <c r="N63" i="125"/>
  <c r="M63" i="125"/>
  <c r="N140" i="125"/>
  <c r="O140" i="125"/>
  <c r="M140" i="125"/>
  <c r="O186" i="125"/>
  <c r="N186" i="125"/>
  <c r="M186" i="125"/>
  <c r="M11" i="134"/>
  <c r="O11" i="134"/>
  <c r="N11" i="134"/>
  <c r="O21" i="134"/>
  <c r="M21" i="134"/>
  <c r="N21" i="134"/>
  <c r="O47" i="134"/>
  <c r="N47" i="134"/>
  <c r="M47" i="134"/>
  <c r="O27" i="134"/>
  <c r="N27" i="134"/>
  <c r="M27" i="134"/>
  <c r="O81" i="125"/>
  <c r="N81" i="125"/>
  <c r="M81" i="125"/>
  <c r="N12" i="125"/>
  <c r="O12" i="125"/>
  <c r="M12" i="125"/>
  <c r="M212" i="125"/>
  <c r="N212" i="125"/>
  <c r="O212" i="125"/>
  <c r="O14" i="125"/>
  <c r="M14" i="125"/>
  <c r="N14" i="125"/>
  <c r="N143" i="125"/>
  <c r="O143" i="125"/>
  <c r="M143" i="125"/>
  <c r="O64" i="125"/>
  <c r="M64" i="125"/>
  <c r="N64" i="125"/>
  <c r="O168" i="125"/>
  <c r="N168" i="125"/>
  <c r="M168" i="125"/>
  <c r="O188" i="125"/>
  <c r="M188" i="125"/>
  <c r="N188" i="125"/>
  <c r="N43" i="125"/>
  <c r="M43" i="125"/>
  <c r="O43" i="125"/>
  <c r="N61" i="125"/>
  <c r="O61" i="125"/>
  <c r="M61" i="125"/>
  <c r="N55" i="125"/>
  <c r="M55" i="125"/>
  <c r="O55" i="125"/>
  <c r="M34" i="125"/>
  <c r="O34" i="125"/>
  <c r="N34" i="125"/>
  <c r="O175" i="125"/>
  <c r="M175" i="125"/>
  <c r="N175" i="125"/>
  <c r="N187" i="125"/>
  <c r="M187" i="125"/>
  <c r="O187" i="125"/>
  <c r="M71" i="125"/>
  <c r="O71" i="125"/>
  <c r="N71" i="125"/>
  <c r="M133" i="125"/>
  <c r="O133" i="125"/>
  <c r="N133" i="125"/>
  <c r="O12" i="134"/>
  <c r="N12" i="134"/>
  <c r="M12" i="134"/>
  <c r="N39" i="134"/>
  <c r="O39" i="134"/>
  <c r="M39" i="134"/>
  <c r="O35" i="134"/>
  <c r="M35" i="134"/>
  <c r="N35" i="134"/>
  <c r="O67" i="134"/>
  <c r="N67" i="134"/>
  <c r="M67" i="134"/>
  <c r="O63" i="134"/>
  <c r="N63" i="134"/>
  <c r="M63" i="134"/>
  <c r="O249" i="125"/>
  <c r="N249" i="125"/>
  <c r="M249" i="125"/>
  <c r="O169" i="125"/>
  <c r="N169" i="125"/>
  <c r="M169" i="125"/>
  <c r="M83" i="125"/>
  <c r="N83" i="125"/>
  <c r="O83" i="125"/>
  <c r="M85" i="125"/>
  <c r="N85" i="125"/>
  <c r="O85" i="125"/>
  <c r="N194" i="125"/>
  <c r="M194" i="125"/>
  <c r="O194" i="125"/>
  <c r="M162" i="125"/>
  <c r="N162" i="125"/>
  <c r="O162" i="125"/>
  <c r="O69" i="125"/>
  <c r="N69" i="125"/>
  <c r="M69" i="125"/>
  <c r="M193" i="125"/>
  <c r="O193" i="125"/>
  <c r="N193" i="125"/>
  <c r="N243" i="125"/>
  <c r="M243" i="125"/>
  <c r="O243" i="125"/>
  <c r="O166" i="125"/>
  <c r="N166" i="125"/>
  <c r="M166" i="125"/>
  <c r="M184" i="125"/>
  <c r="O184" i="125"/>
  <c r="N184" i="125"/>
  <c r="N150" i="125"/>
  <c r="M150" i="125"/>
  <c r="O150" i="125"/>
  <c r="M88" i="125"/>
  <c r="O88" i="125"/>
  <c r="N88" i="125"/>
  <c r="M111" i="125"/>
  <c r="O111" i="125"/>
  <c r="N111" i="125"/>
  <c r="O116" i="125"/>
  <c r="M116" i="125"/>
  <c r="N116" i="125"/>
  <c r="M132" i="125"/>
  <c r="N132" i="125"/>
  <c r="O132" i="125"/>
  <c r="M54" i="125"/>
  <c r="O54" i="125"/>
  <c r="N54" i="125"/>
  <c r="O74" i="125"/>
  <c r="N74" i="125"/>
  <c r="M74" i="125"/>
  <c r="O242" i="125"/>
  <c r="N242" i="125"/>
  <c r="M242" i="125"/>
  <c r="O244" i="125"/>
  <c r="M244" i="125"/>
  <c r="N244" i="125"/>
  <c r="M201" i="125"/>
  <c r="N201" i="125"/>
  <c r="O201" i="125"/>
  <c r="M44" i="125"/>
  <c r="O44" i="125"/>
  <c r="N44" i="125"/>
  <c r="O90" i="125"/>
  <c r="N90" i="125"/>
  <c r="M90" i="125"/>
  <c r="O121" i="125"/>
  <c r="N121" i="125"/>
  <c r="M121" i="125"/>
  <c r="N158" i="125"/>
  <c r="O158" i="125"/>
  <c r="M158" i="125"/>
  <c r="M38" i="125"/>
  <c r="N38" i="125"/>
  <c r="O38" i="125"/>
  <c r="O11" i="125"/>
  <c r="M11" i="125"/>
  <c r="N11" i="125"/>
  <c r="N202" i="125"/>
  <c r="M202" i="125"/>
  <c r="O202" i="125"/>
  <c r="M207" i="125"/>
  <c r="O207" i="125"/>
  <c r="N207" i="125"/>
  <c r="M136" i="125"/>
  <c r="N136" i="125"/>
  <c r="O136" i="125"/>
  <c r="O42" i="134"/>
  <c r="N42" i="134"/>
  <c r="M42" i="134"/>
  <c r="N34" i="134"/>
  <c r="O34" i="134"/>
  <c r="M34" i="134"/>
  <c r="N74" i="134"/>
  <c r="M74" i="134"/>
  <c r="O74" i="134"/>
  <c r="M33" i="134"/>
  <c r="N33" i="134"/>
  <c r="O33" i="134"/>
  <c r="O60" i="134"/>
  <c r="M60" i="134"/>
  <c r="N60" i="134"/>
  <c r="N32" i="134"/>
  <c r="M32" i="134"/>
  <c r="O32" i="134"/>
  <c r="N28" i="134"/>
  <c r="M28" i="134"/>
  <c r="O28" i="134"/>
  <c r="O43" i="134"/>
  <c r="N43" i="134"/>
  <c r="M43" i="134"/>
  <c r="O75" i="134"/>
  <c r="N75" i="134"/>
  <c r="M75" i="134"/>
  <c r="M117" i="125"/>
  <c r="O117" i="125"/>
  <c r="N117" i="125"/>
  <c r="M128" i="125"/>
  <c r="O128" i="125"/>
  <c r="N128" i="125"/>
  <c r="N123" i="125"/>
  <c r="O123" i="125"/>
  <c r="M123" i="125"/>
  <c r="O220" i="125"/>
  <c r="M220" i="125"/>
  <c r="N220" i="125"/>
  <c r="M197" i="125"/>
  <c r="O197" i="125"/>
  <c r="N197" i="125"/>
  <c r="M180" i="125"/>
  <c r="N180" i="125"/>
  <c r="O180" i="125"/>
  <c r="O223" i="125"/>
  <c r="N223" i="125"/>
  <c r="M223" i="125"/>
  <c r="N22" i="125"/>
  <c r="M22" i="125"/>
  <c r="O22" i="125"/>
  <c r="O170" i="125"/>
  <c r="N170" i="125"/>
  <c r="M170" i="125"/>
  <c r="M27" i="125"/>
  <c r="O27" i="125"/>
  <c r="N27" i="125"/>
  <c r="N37" i="125"/>
  <c r="O37" i="125"/>
  <c r="M37" i="125"/>
  <c r="N32" i="125"/>
  <c r="M32" i="125"/>
  <c r="O32" i="125"/>
  <c r="N122" i="125"/>
  <c r="O122" i="125"/>
  <c r="M122" i="125"/>
  <c r="N131" i="125"/>
  <c r="M131" i="125"/>
  <c r="O131" i="125"/>
  <c r="O161" i="125"/>
  <c r="M161" i="125"/>
  <c r="N161" i="125"/>
  <c r="N59" i="125"/>
  <c r="O59" i="125"/>
  <c r="M59" i="125"/>
  <c r="O100" i="125"/>
  <c r="M100" i="125"/>
  <c r="N100" i="125"/>
  <c r="O118" i="125"/>
  <c r="N118" i="125"/>
  <c r="M118" i="125"/>
  <c r="O141" i="125"/>
  <c r="M141" i="125"/>
  <c r="N141" i="125"/>
  <c r="N66" i="134"/>
  <c r="O66" i="134"/>
  <c r="M66" i="134"/>
  <c r="M73" i="134"/>
  <c r="O73" i="134"/>
  <c r="N73" i="134"/>
  <c r="O20" i="134"/>
  <c r="N20" i="134"/>
  <c r="M20" i="134"/>
  <c r="M55" i="134"/>
  <c r="O55" i="134"/>
  <c r="N55" i="134"/>
  <c r="N19" i="134"/>
  <c r="M19" i="134"/>
  <c r="O19" i="134"/>
  <c r="N137" i="125"/>
  <c r="O137" i="125"/>
  <c r="M137" i="125"/>
  <c r="N229" i="125"/>
  <c r="O229" i="125"/>
  <c r="M229" i="125"/>
  <c r="M17" i="125"/>
  <c r="O17" i="125"/>
  <c r="N17" i="125"/>
  <c r="M134" i="125"/>
  <c r="N134" i="125"/>
  <c r="O134" i="125"/>
  <c r="O76" i="125"/>
  <c r="N76" i="125"/>
  <c r="M76" i="125"/>
  <c r="N73" i="125"/>
  <c r="O73" i="125"/>
  <c r="M73" i="125"/>
  <c r="N10" i="125"/>
  <c r="O10" i="125"/>
  <c r="M10" i="125"/>
  <c r="M99" i="125"/>
  <c r="N99" i="125"/>
  <c r="O99" i="125"/>
  <c r="N80" i="125"/>
  <c r="M80" i="125"/>
  <c r="O80" i="125"/>
  <c r="O106" i="125"/>
  <c r="M106" i="125"/>
  <c r="N106" i="125"/>
  <c r="M151" i="125"/>
  <c r="O151" i="125"/>
  <c r="N151" i="125"/>
  <c r="M65" i="125"/>
  <c r="O65" i="125"/>
  <c r="N65" i="125"/>
  <c r="O172" i="125"/>
  <c r="M172" i="125"/>
  <c r="N172" i="125"/>
  <c r="O206" i="125"/>
  <c r="M206" i="125"/>
  <c r="N206" i="125"/>
  <c r="N164" i="125"/>
  <c r="M164" i="125"/>
  <c r="O164" i="125"/>
  <c r="N14" i="134"/>
  <c r="M14" i="134"/>
  <c r="O14" i="134"/>
  <c r="O62" i="134"/>
  <c r="N62" i="134"/>
  <c r="M62" i="134"/>
  <c r="M69" i="134"/>
  <c r="O69" i="134"/>
  <c r="N69" i="134"/>
  <c r="O23" i="134"/>
  <c r="M23" i="134"/>
  <c r="N23" i="134"/>
  <c r="M82" i="125"/>
  <c r="N82" i="125"/>
  <c r="O82" i="125"/>
  <c r="M246" i="125"/>
  <c r="N246" i="125"/>
  <c r="O246" i="125"/>
  <c r="O247" i="125"/>
  <c r="N247" i="125"/>
  <c r="M247" i="125"/>
  <c r="O60" i="125"/>
  <c r="N60" i="125"/>
  <c r="M60" i="125"/>
  <c r="O112" i="125"/>
  <c r="N112" i="125"/>
  <c r="M112" i="125"/>
  <c r="O23" i="125"/>
  <c r="M23" i="125"/>
  <c r="N23" i="125"/>
  <c r="M8" i="125"/>
  <c r="N8" i="125"/>
  <c r="O8" i="125"/>
  <c r="M163" i="125"/>
  <c r="O163" i="125"/>
  <c r="N163" i="125"/>
  <c r="O70" i="125"/>
  <c r="N70" i="125"/>
  <c r="M70" i="125"/>
  <c r="O126" i="125"/>
  <c r="M126" i="125"/>
  <c r="N126" i="125"/>
  <c r="M72" i="125"/>
  <c r="O72" i="125"/>
  <c r="N72" i="125"/>
  <c r="N98" i="125"/>
  <c r="O98" i="125"/>
  <c r="M98" i="125"/>
  <c r="N237" i="125"/>
  <c r="O237" i="125"/>
  <c r="M237" i="125"/>
  <c r="M29" i="125"/>
  <c r="N29" i="125"/>
  <c r="O29" i="125"/>
  <c r="O113" i="125"/>
  <c r="N113" i="125"/>
  <c r="M113" i="125"/>
  <c r="N13" i="125"/>
  <c r="M13" i="125"/>
  <c r="O13" i="125"/>
  <c r="M50" i="125"/>
  <c r="N50" i="125"/>
  <c r="O50" i="125"/>
  <c r="M210" i="125"/>
  <c r="N210" i="125"/>
  <c r="O210" i="125"/>
  <c r="O250" i="125"/>
  <c r="M250" i="125"/>
  <c r="N250" i="125"/>
  <c r="O53" i="125"/>
  <c r="N53" i="125"/>
  <c r="M53" i="125"/>
  <c r="O146" i="125"/>
  <c r="M146" i="125"/>
  <c r="N146" i="125"/>
  <c r="O130" i="125"/>
  <c r="N130" i="125"/>
  <c r="M130" i="125"/>
  <c r="M24" i="125"/>
  <c r="N24" i="125"/>
  <c r="O24" i="125"/>
  <c r="N155" i="125"/>
  <c r="O155" i="125"/>
  <c r="M155" i="125"/>
  <c r="O26" i="125"/>
  <c r="N26" i="125"/>
  <c r="M26" i="125"/>
  <c r="O233" i="125"/>
  <c r="M233" i="125"/>
  <c r="N233" i="125"/>
  <c r="M238" i="125"/>
  <c r="O238" i="125"/>
  <c r="N238" i="125"/>
  <c r="M110" i="125"/>
  <c r="N110" i="125"/>
  <c r="O110" i="125"/>
  <c r="M105" i="125"/>
  <c r="N105" i="125"/>
  <c r="O105" i="125"/>
  <c r="M145" i="125"/>
  <c r="N145" i="125"/>
  <c r="O145" i="125"/>
  <c r="M41" i="134"/>
  <c r="O41" i="134"/>
  <c r="N41" i="134"/>
  <c r="M24" i="134"/>
  <c r="N24" i="134"/>
  <c r="O24" i="134"/>
  <c r="N71" i="134"/>
  <c r="M71" i="134"/>
  <c r="O71" i="134"/>
  <c r="M44" i="134"/>
  <c r="N44" i="134"/>
  <c r="O44" i="134"/>
  <c r="N64" i="134"/>
  <c r="O64" i="134"/>
  <c r="M64" i="134"/>
  <c r="N8" i="134"/>
  <c r="M8" i="134"/>
  <c r="O8" i="134"/>
  <c r="N54" i="134"/>
  <c r="M54" i="134"/>
  <c r="O54" i="134"/>
  <c r="N40" i="134"/>
  <c r="M40" i="134"/>
  <c r="O40" i="134"/>
  <c r="O47" i="125"/>
  <c r="M47" i="125"/>
  <c r="N47" i="125"/>
  <c r="O176" i="125"/>
  <c r="N176" i="125"/>
  <c r="M176" i="125"/>
  <c r="M225" i="125"/>
  <c r="O225" i="125"/>
  <c r="N225" i="125"/>
  <c r="N191" i="125"/>
  <c r="O191" i="125"/>
  <c r="M191" i="125"/>
  <c r="N178" i="125"/>
  <c r="M178" i="125"/>
  <c r="O178" i="125"/>
  <c r="N217" i="125"/>
  <c r="M217" i="125"/>
  <c r="O217" i="125"/>
  <c r="M94" i="125"/>
  <c r="N94" i="125"/>
  <c r="O94" i="125"/>
  <c r="M30" i="125"/>
  <c r="N30" i="125"/>
  <c r="O30" i="125"/>
  <c r="M52" i="125"/>
  <c r="N52" i="125"/>
  <c r="O52" i="125"/>
  <c r="O16" i="125"/>
  <c r="N16" i="125"/>
  <c r="M16" i="125"/>
  <c r="N75" i="125"/>
  <c r="M75" i="125"/>
  <c r="O75" i="125"/>
  <c r="O226" i="125"/>
  <c r="M226" i="125"/>
  <c r="N226" i="125"/>
  <c r="O87" i="125"/>
  <c r="M87" i="125"/>
  <c r="N87" i="125"/>
  <c r="N152" i="125"/>
  <c r="O152" i="125"/>
  <c r="M152" i="125"/>
  <c r="N205" i="125"/>
  <c r="M205" i="125"/>
  <c r="O205" i="125"/>
  <c r="M179" i="125"/>
  <c r="O179" i="125"/>
  <c r="N179" i="125"/>
  <c r="O101" i="125"/>
  <c r="M101" i="125"/>
  <c r="N101" i="125"/>
  <c r="M28" i="125"/>
  <c r="N28" i="125"/>
  <c r="O28" i="125"/>
  <c r="N58" i="125"/>
  <c r="M58" i="125"/>
  <c r="O58" i="125"/>
  <c r="M103" i="125"/>
  <c r="O103" i="125"/>
  <c r="N103" i="125"/>
  <c r="O114" i="125"/>
  <c r="M114" i="125"/>
  <c r="N114" i="125"/>
  <c r="O115" i="125"/>
  <c r="M115" i="125"/>
  <c r="N115" i="125"/>
  <c r="M31" i="125"/>
  <c r="N31" i="125"/>
  <c r="O31" i="125"/>
  <c r="M49" i="125"/>
  <c r="O49" i="125"/>
  <c r="N49" i="125"/>
  <c r="M236" i="125"/>
  <c r="N236" i="125"/>
  <c r="O236" i="125"/>
  <c r="N234" i="125"/>
  <c r="O234" i="125"/>
  <c r="M234" i="125"/>
  <c r="N160" i="125"/>
  <c r="M160" i="125"/>
  <c r="O160" i="125"/>
  <c r="N165" i="125"/>
  <c r="M165" i="125"/>
  <c r="O165" i="125"/>
  <c r="N84" i="125"/>
  <c r="M84" i="125"/>
  <c r="O84" i="125"/>
  <c r="M18" i="134"/>
  <c r="O18" i="134"/>
  <c r="N18" i="134"/>
  <c r="N59" i="134"/>
  <c r="M59" i="134"/>
  <c r="O59" i="134"/>
  <c r="N15" i="134"/>
  <c r="M15" i="134"/>
  <c r="O15" i="134"/>
  <c r="N52" i="134"/>
  <c r="O52" i="134"/>
  <c r="M52" i="134"/>
  <c r="N53" i="134"/>
  <c r="O53" i="134"/>
  <c r="M53" i="134"/>
  <c r="N10" i="134"/>
  <c r="O10" i="134"/>
  <c r="M10" i="134"/>
  <c r="N72" i="134"/>
  <c r="O72" i="134"/>
  <c r="M72" i="134"/>
  <c r="O70" i="134"/>
  <c r="N70" i="134"/>
  <c r="M70" i="134"/>
  <c r="O209" i="125"/>
  <c r="M209" i="125"/>
  <c r="N209" i="125"/>
  <c r="N227" i="125"/>
  <c r="M227" i="125"/>
  <c r="O227" i="125"/>
  <c r="O221" i="125"/>
  <c r="M221" i="125"/>
  <c r="N221" i="125"/>
  <c r="M222" i="125"/>
  <c r="N222" i="125"/>
  <c r="O222" i="125"/>
  <c r="O89" i="125"/>
  <c r="N89" i="125"/>
  <c r="M89" i="125"/>
  <c r="N45" i="125"/>
  <c r="M45" i="125"/>
  <c r="O45" i="125"/>
  <c r="O79" i="125"/>
  <c r="N79" i="125"/>
  <c r="M79" i="125"/>
  <c r="O78" i="125"/>
  <c r="N78" i="125"/>
  <c r="M78" i="125"/>
  <c r="N127" i="125"/>
  <c r="M127" i="125"/>
  <c r="O127" i="125"/>
  <c r="N200" i="125"/>
  <c r="M200" i="125"/>
  <c r="O200" i="125"/>
  <c r="N159" i="125"/>
  <c r="O159" i="125"/>
  <c r="M159" i="125"/>
  <c r="O142" i="125"/>
  <c r="N142" i="125"/>
  <c r="M142" i="125"/>
  <c r="N182" i="125"/>
  <c r="M182" i="125"/>
  <c r="O182" i="125"/>
  <c r="N185" i="125"/>
  <c r="M185" i="125"/>
  <c r="O185" i="125"/>
  <c r="O231" i="125"/>
  <c r="N231" i="125"/>
  <c r="M231" i="125"/>
  <c r="O148" i="125"/>
  <c r="M148" i="125"/>
  <c r="N148" i="125"/>
  <c r="M183" i="125"/>
  <c r="N183" i="125"/>
  <c r="O183" i="125"/>
  <c r="N171" i="125"/>
  <c r="M171" i="125"/>
  <c r="O171" i="125"/>
  <c r="O156" i="125"/>
  <c r="M156" i="125"/>
  <c r="N156" i="125"/>
  <c r="M107" i="125"/>
  <c r="N107" i="125"/>
  <c r="O107" i="125"/>
  <c r="N56" i="125"/>
  <c r="M56" i="125"/>
  <c r="O56" i="125"/>
  <c r="O9" i="125"/>
  <c r="M9" i="125"/>
  <c r="N9" i="125"/>
  <c r="M216" i="125"/>
  <c r="N216" i="125"/>
  <c r="O216" i="125"/>
  <c r="O248" i="125"/>
  <c r="N248" i="125"/>
  <c r="M248" i="125"/>
  <c r="O42" i="125"/>
  <c r="N42" i="125"/>
  <c r="M42" i="125"/>
  <c r="M57" i="125"/>
  <c r="O57" i="125"/>
  <c r="N57" i="125"/>
  <c r="M203" i="125"/>
  <c r="N203" i="125"/>
  <c r="O203" i="125"/>
  <c r="O96" i="125"/>
  <c r="M96" i="125"/>
  <c r="N96" i="125"/>
  <c r="M36" i="125"/>
  <c r="N36" i="125"/>
  <c r="O36" i="125"/>
  <c r="M77" i="125"/>
  <c r="N77" i="125"/>
  <c r="O77" i="125"/>
  <c r="M196" i="125"/>
  <c r="N196" i="125"/>
  <c r="O196" i="125"/>
  <c r="O22" i="134"/>
  <c r="M22" i="134"/>
  <c r="N22" i="134"/>
  <c r="N45" i="134"/>
  <c r="M45" i="134"/>
  <c r="O45" i="134"/>
  <c r="M76" i="134"/>
  <c r="N76" i="134"/>
  <c r="O76" i="134"/>
  <c r="M65" i="134"/>
  <c r="N65" i="134"/>
  <c r="O65" i="134"/>
  <c r="O29" i="134"/>
  <c r="M29" i="134"/>
  <c r="N29" i="134"/>
  <c r="M25" i="134"/>
  <c r="O25" i="134"/>
  <c r="N25" i="134"/>
  <c r="M56" i="134"/>
  <c r="N56" i="134"/>
  <c r="O56" i="134"/>
  <c r="M13" i="134"/>
  <c r="N13" i="134"/>
  <c r="O13" i="134"/>
  <c r="N154" i="125"/>
  <c r="M154" i="125"/>
  <c r="O154" i="125"/>
  <c r="O68" i="125"/>
  <c r="M68" i="125"/>
  <c r="N68" i="125"/>
  <c r="O125" i="125"/>
  <c r="M125" i="125"/>
  <c r="N125" i="125"/>
  <c r="N232" i="125"/>
  <c r="O232" i="125"/>
  <c r="M232" i="125"/>
  <c r="O86" i="125"/>
  <c r="M86" i="125"/>
  <c r="N86" i="125"/>
  <c r="O19" i="125"/>
  <c r="M19" i="125"/>
  <c r="N19" i="125"/>
  <c r="N109" i="125"/>
  <c r="O109" i="125"/>
  <c r="M109" i="125"/>
  <c r="O40" i="125"/>
  <c r="M40" i="125"/>
  <c r="N40" i="125"/>
  <c r="O251" i="125"/>
  <c r="N251" i="125"/>
  <c r="M251" i="125"/>
  <c r="N228" i="125"/>
  <c r="M228" i="125"/>
  <c r="O228" i="125"/>
  <c r="M241" i="125"/>
  <c r="N241" i="125"/>
  <c r="O241" i="125"/>
  <c r="N124" i="125"/>
  <c r="O124" i="125"/>
  <c r="M124" i="125"/>
  <c r="N20" i="125"/>
  <c r="M20" i="125"/>
  <c r="O20" i="125"/>
  <c r="N93" i="125"/>
  <c r="O93" i="125"/>
  <c r="M93" i="125"/>
  <c r="N33" i="125"/>
  <c r="O33" i="125"/>
  <c r="M33" i="125"/>
  <c r="M21" i="125"/>
  <c r="O21" i="125"/>
  <c r="N21" i="125"/>
  <c r="N204" i="125"/>
  <c r="O204" i="125"/>
  <c r="M204" i="125"/>
  <c r="N149" i="125"/>
  <c r="O149" i="125"/>
  <c r="M149" i="125"/>
  <c r="O224" i="125"/>
  <c r="M224" i="125"/>
  <c r="N224" i="125"/>
  <c r="N48" i="125"/>
  <c r="M48" i="125"/>
  <c r="O48" i="125"/>
  <c r="N66" i="125"/>
  <c r="M66" i="125"/>
  <c r="O66" i="125"/>
  <c r="N192" i="125"/>
  <c r="O192" i="125"/>
  <c r="M192" i="125"/>
  <c r="O208" i="125"/>
  <c r="M208" i="125"/>
  <c r="N208" i="125"/>
  <c r="M67" i="125"/>
  <c r="O67" i="125"/>
  <c r="N67" i="125"/>
  <c r="O147" i="125"/>
  <c r="N147" i="125"/>
  <c r="M147" i="125"/>
  <c r="N95" i="125"/>
  <c r="O95" i="125"/>
  <c r="M95" i="125"/>
  <c r="N46" i="134"/>
  <c r="M46" i="134"/>
  <c r="O46" i="134"/>
  <c r="N37" i="134"/>
  <c r="O37" i="134"/>
  <c r="M37" i="134"/>
  <c r="M17" i="134"/>
  <c r="N17" i="134"/>
  <c r="O17" i="134"/>
  <c r="O57" i="134"/>
  <c r="N57" i="134"/>
  <c r="M57" i="134"/>
  <c r="N38" i="134"/>
  <c r="M38" i="134"/>
  <c r="O38" i="134"/>
  <c r="M50" i="134"/>
  <c r="N50" i="134"/>
  <c r="O50" i="134"/>
  <c r="M16" i="134"/>
  <c r="O16" i="134"/>
  <c r="N16" i="134"/>
  <c r="N9" i="134"/>
  <c r="M9" i="134"/>
  <c r="O9" i="134"/>
  <c r="O30" i="134"/>
  <c r="M30" i="134"/>
  <c r="N30" i="134"/>
  <c r="M195" i="125"/>
  <c r="O195" i="125"/>
  <c r="N195" i="125"/>
  <c r="O219" i="125"/>
  <c r="M219" i="125"/>
  <c r="N219" i="125"/>
  <c r="O41" i="125"/>
  <c r="N41" i="125"/>
  <c r="M41" i="125"/>
  <c r="N189" i="125"/>
  <c r="M189" i="125"/>
  <c r="O189" i="125"/>
  <c r="O173" i="125"/>
  <c r="M173" i="125"/>
  <c r="N173" i="125"/>
  <c r="O199" i="125"/>
  <c r="N199" i="125"/>
  <c r="M199" i="125"/>
  <c r="N218" i="125"/>
  <c r="M218" i="125"/>
  <c r="O218" i="125"/>
  <c r="N135" i="125"/>
  <c r="O135" i="125"/>
  <c r="M135" i="125"/>
  <c r="N198" i="125"/>
  <c r="O198" i="125"/>
  <c r="M198" i="125"/>
  <c r="O91" i="125"/>
  <c r="M91" i="125"/>
  <c r="N91" i="125"/>
  <c r="M108" i="125"/>
  <c r="O108" i="125"/>
  <c r="N108" i="125"/>
  <c r="N167" i="125"/>
  <c r="M167" i="125"/>
  <c r="O167" i="125"/>
  <c r="O190" i="125"/>
  <c r="N190" i="125"/>
  <c r="M190" i="125"/>
  <c r="O181" i="125"/>
  <c r="M181" i="125"/>
  <c r="N181" i="125"/>
  <c r="O139" i="125"/>
  <c r="N139" i="125"/>
  <c r="M139" i="125"/>
  <c r="O119" i="125"/>
  <c r="M119" i="125"/>
  <c r="N119" i="125"/>
  <c r="N51" i="125"/>
  <c r="M51" i="125"/>
  <c r="O51" i="125"/>
  <c r="O174" i="125"/>
  <c r="N174" i="125"/>
  <c r="M174" i="125"/>
  <c r="O211" i="125"/>
  <c r="N211" i="125"/>
  <c r="M211" i="125"/>
  <c r="N239" i="125"/>
  <c r="O239" i="125"/>
  <c r="M239" i="125"/>
  <c r="O240" i="125"/>
  <c r="N240" i="125"/>
  <c r="M240" i="125"/>
  <c r="M213" i="125"/>
  <c r="N213" i="125"/>
  <c r="O213" i="125"/>
  <c r="O46" i="125"/>
  <c r="M46" i="125"/>
  <c r="N46" i="125"/>
  <c r="O102" i="125"/>
  <c r="N102" i="125"/>
  <c r="M102" i="125"/>
  <c r="M157" i="125"/>
  <c r="O157" i="125"/>
  <c r="N157" i="125"/>
  <c r="M144" i="125"/>
  <c r="O144" i="125"/>
  <c r="N144" i="125"/>
  <c r="M39" i="125"/>
  <c r="O39" i="125"/>
  <c r="N39" i="125"/>
  <c r="N129" i="125"/>
  <c r="M129" i="125"/>
  <c r="O129" i="125"/>
  <c r="O177" i="125"/>
  <c r="N177" i="125"/>
  <c r="M177" i="125"/>
  <c r="M230" i="125"/>
  <c r="O230" i="125"/>
  <c r="N230" i="125"/>
  <c r="N92" i="125"/>
  <c r="M92" i="125"/>
  <c r="O92" i="125"/>
  <c r="N49" i="134"/>
  <c r="O49" i="134"/>
  <c r="M49" i="134"/>
  <c r="N36" i="134"/>
  <c r="M36" i="134"/>
  <c r="O36" i="134"/>
  <c r="N48" i="134"/>
  <c r="M48" i="134"/>
  <c r="O48" i="134"/>
  <c r="M31" i="134"/>
  <c r="N31" i="134"/>
  <c r="O31" i="134"/>
  <c r="O61" i="134"/>
  <c r="M61" i="134"/>
  <c r="N61" i="134"/>
  <c r="O58" i="134"/>
  <c r="M58" i="134"/>
  <c r="N58" i="134"/>
  <c r="O68" i="134"/>
  <c r="M68" i="134"/>
  <c r="N68" i="134"/>
  <c r="O51" i="134"/>
  <c r="M51" i="134"/>
  <c r="N51" i="134"/>
  <c r="M26" i="134"/>
  <c r="O26" i="134"/>
  <c r="N26" i="134"/>
  <c r="P32" i="168"/>
  <c r="Q32" i="168"/>
  <c r="P10" i="168"/>
  <c r="Q10" i="168"/>
  <c r="P81" i="172"/>
  <c r="Q81" i="172"/>
  <c r="P9" i="172"/>
  <c r="Q9" i="172"/>
  <c r="Q87" i="172"/>
  <c r="P87" i="172"/>
  <c r="P34" i="172"/>
  <c r="Q34" i="172"/>
  <c r="P209" i="172"/>
  <c r="Q209" i="172"/>
  <c r="P129" i="172"/>
  <c r="Q129" i="172"/>
  <c r="P54" i="172"/>
  <c r="Q54" i="172"/>
  <c r="P11" i="168"/>
  <c r="Q11" i="168"/>
  <c r="P57" i="168"/>
  <c r="Q57" i="168"/>
  <c r="P38" i="168"/>
  <c r="Q38" i="168"/>
  <c r="P72" i="168"/>
  <c r="Q72" i="168"/>
  <c r="I18" i="157" s="1"/>
  <c r="P24" i="168"/>
  <c r="Q24" i="168"/>
  <c r="P39" i="168"/>
  <c r="Q39" i="168"/>
  <c r="P9" i="168"/>
  <c r="Q9" i="168"/>
  <c r="P34" i="168"/>
  <c r="Q34" i="168"/>
  <c r="P12" i="172"/>
  <c r="Q12" i="172"/>
  <c r="P61" i="172"/>
  <c r="Q61" i="172"/>
  <c r="P248" i="172"/>
  <c r="Q248" i="172"/>
  <c r="P238" i="172"/>
  <c r="Q238" i="172"/>
  <c r="P144" i="172"/>
  <c r="Q144" i="172"/>
  <c r="P80" i="172"/>
  <c r="Q80" i="172"/>
  <c r="P211" i="172"/>
  <c r="Q211" i="172"/>
  <c r="P113" i="172"/>
  <c r="Q113" i="172"/>
  <c r="Q149" i="172"/>
  <c r="P149" i="172"/>
  <c r="P41" i="172"/>
  <c r="Q41" i="172"/>
  <c r="P159" i="172"/>
  <c r="Q159" i="172"/>
  <c r="I20" i="157" s="1"/>
  <c r="P45" i="172"/>
  <c r="Q45" i="172"/>
  <c r="Q67" i="172"/>
  <c r="P67" i="172"/>
  <c r="Q100" i="172"/>
  <c r="P100" i="172"/>
  <c r="P21" i="172"/>
  <c r="Q21" i="172"/>
  <c r="P235" i="172"/>
  <c r="Q235" i="172"/>
  <c r="P195" i="172"/>
  <c r="Q195" i="172"/>
  <c r="P33" i="172"/>
  <c r="Q33" i="172"/>
  <c r="P145" i="172"/>
  <c r="Q145" i="172"/>
  <c r="P125" i="172"/>
  <c r="Q125" i="172"/>
  <c r="P35" i="172"/>
  <c r="Q35" i="172"/>
  <c r="P76" i="172"/>
  <c r="Q76" i="172"/>
  <c r="P249" i="172"/>
  <c r="Q249" i="172"/>
  <c r="P173" i="172"/>
  <c r="Q173" i="172"/>
  <c r="P69" i="172"/>
  <c r="Q69" i="172"/>
  <c r="P77" i="172"/>
  <c r="Q77" i="172"/>
  <c r="P90" i="172"/>
  <c r="Q90" i="172"/>
  <c r="Q155" i="172"/>
  <c r="P155" i="172"/>
  <c r="P104" i="172"/>
  <c r="Q104" i="172"/>
  <c r="P20" i="168"/>
  <c r="Q20" i="168"/>
  <c r="P68" i="168"/>
  <c r="Q68" i="168"/>
  <c r="Q213" i="172"/>
  <c r="P213" i="172"/>
  <c r="Q62" i="172"/>
  <c r="P62" i="172"/>
  <c r="P246" i="172"/>
  <c r="Q246" i="172"/>
  <c r="I19" i="156" s="1"/>
  <c r="P184" i="172"/>
  <c r="Q184" i="172"/>
  <c r="P36" i="172"/>
  <c r="Q36" i="172"/>
  <c r="P42" i="168"/>
  <c r="Q42" i="168"/>
  <c r="P49" i="168"/>
  <c r="Q49" i="168"/>
  <c r="P43" i="168"/>
  <c r="Q43" i="168"/>
  <c r="P15" i="168"/>
  <c r="Q15" i="168"/>
  <c r="P61" i="168"/>
  <c r="Q61" i="168"/>
  <c r="P76" i="168"/>
  <c r="Q76" i="168"/>
  <c r="P66" i="168"/>
  <c r="Q66" i="168"/>
  <c r="P86" i="172"/>
  <c r="Q86" i="172"/>
  <c r="Q237" i="172"/>
  <c r="P237" i="172"/>
  <c r="P19" i="172"/>
  <c r="Q19" i="172"/>
  <c r="P185" i="172"/>
  <c r="Q185" i="172"/>
  <c r="P151" i="172"/>
  <c r="Q151" i="172"/>
  <c r="Q44" i="172"/>
  <c r="P44" i="172"/>
  <c r="Q179" i="172"/>
  <c r="P179" i="172"/>
  <c r="P164" i="172"/>
  <c r="Q164" i="172"/>
  <c r="P166" i="172"/>
  <c r="Q166" i="172"/>
  <c r="P50" i="172"/>
  <c r="Q50" i="172"/>
  <c r="P52" i="172"/>
  <c r="Q52" i="172"/>
  <c r="P10" i="172"/>
  <c r="Q10" i="172"/>
  <c r="Q140" i="172"/>
  <c r="P140" i="172"/>
  <c r="P112" i="172"/>
  <c r="Q112" i="172"/>
  <c r="P180" i="172"/>
  <c r="Q180" i="172"/>
  <c r="P188" i="172"/>
  <c r="Q188" i="172"/>
  <c r="P128" i="172"/>
  <c r="Q128" i="172"/>
  <c r="P148" i="172"/>
  <c r="Q148" i="172"/>
  <c r="P120" i="172"/>
  <c r="Q120" i="172"/>
  <c r="P28" i="172"/>
  <c r="Q28" i="172"/>
  <c r="P210" i="172"/>
  <c r="Q210" i="172"/>
  <c r="Q187" i="172"/>
  <c r="P187" i="172"/>
  <c r="P107" i="172"/>
  <c r="Q107" i="172"/>
  <c r="P89" i="172"/>
  <c r="Q89" i="172"/>
  <c r="P141" i="172"/>
  <c r="Q141" i="172"/>
  <c r="Q182" i="172"/>
  <c r="P182" i="172"/>
  <c r="P59" i="168"/>
  <c r="Q59" i="168"/>
  <c r="P63" i="172"/>
  <c r="Q63" i="172"/>
  <c r="P160" i="172"/>
  <c r="Q160" i="172"/>
  <c r="Q75" i="172"/>
  <c r="P75" i="172"/>
  <c r="P56" i="172"/>
  <c r="Q56" i="172"/>
  <c r="P205" i="172"/>
  <c r="Q205" i="172"/>
  <c r="Q189" i="172"/>
  <c r="P189" i="172"/>
  <c r="P55" i="168"/>
  <c r="Q55" i="168"/>
  <c r="P14" i="168"/>
  <c r="Q14" i="168"/>
  <c r="I16" i="157" s="1"/>
  <c r="P56" i="168"/>
  <c r="Q56" i="168"/>
  <c r="P74" i="168"/>
  <c r="Q74" i="168"/>
  <c r="P29" i="168"/>
  <c r="Q29" i="168"/>
  <c r="P33" i="168"/>
  <c r="Q33" i="168"/>
  <c r="P17" i="168"/>
  <c r="Q17" i="168"/>
  <c r="P71" i="168"/>
  <c r="Q71" i="168"/>
  <c r="P46" i="168"/>
  <c r="Q46" i="168"/>
  <c r="Q37" i="172"/>
  <c r="P37" i="172"/>
  <c r="Q30" i="172"/>
  <c r="P30" i="172"/>
  <c r="Q116" i="172"/>
  <c r="P116" i="172"/>
  <c r="Q130" i="172"/>
  <c r="I11" i="156" s="1"/>
  <c r="P130" i="172"/>
  <c r="P190" i="172"/>
  <c r="Q190" i="172"/>
  <c r="P222" i="172"/>
  <c r="Q222" i="172"/>
  <c r="Q108" i="172"/>
  <c r="P108" i="172"/>
  <c r="Q161" i="172"/>
  <c r="P161" i="172"/>
  <c r="Q119" i="172"/>
  <c r="P119" i="172"/>
  <c r="P127" i="172"/>
  <c r="Q127" i="172"/>
  <c r="Q152" i="172"/>
  <c r="P152" i="172"/>
  <c r="Q17" i="172"/>
  <c r="P17" i="172"/>
  <c r="Q240" i="172"/>
  <c r="P240" i="172"/>
  <c r="Q158" i="172"/>
  <c r="P158" i="172"/>
  <c r="P169" i="172"/>
  <c r="Q169" i="172"/>
  <c r="Q203" i="172"/>
  <c r="P203" i="172"/>
  <c r="P27" i="172"/>
  <c r="Q27" i="172"/>
  <c r="Q207" i="172"/>
  <c r="P207" i="172"/>
  <c r="P177" i="172"/>
  <c r="Q177" i="172"/>
  <c r="P216" i="172"/>
  <c r="Q216" i="172"/>
  <c r="P121" i="172"/>
  <c r="Q121" i="172"/>
  <c r="P78" i="172"/>
  <c r="Q78" i="172"/>
  <c r="P202" i="172"/>
  <c r="Q202" i="172"/>
  <c r="P48" i="168"/>
  <c r="Q48" i="168"/>
  <c r="P67" i="168"/>
  <c r="Q67" i="168"/>
  <c r="P165" i="172"/>
  <c r="Q165" i="172"/>
  <c r="Q13" i="172"/>
  <c r="P13" i="172"/>
  <c r="P186" i="172"/>
  <c r="Q186" i="172"/>
  <c r="P97" i="172"/>
  <c r="Q97" i="172"/>
  <c r="Q99" i="172"/>
  <c r="P99" i="172"/>
  <c r="P147" i="172"/>
  <c r="Q147" i="172"/>
  <c r="P20" i="172"/>
  <c r="Q20" i="172"/>
  <c r="P168" i="172"/>
  <c r="Q168" i="172"/>
  <c r="P19" i="168"/>
  <c r="Q19" i="168"/>
  <c r="P64" i="168"/>
  <c r="Q64" i="168"/>
  <c r="P16" i="168"/>
  <c r="Q16" i="168"/>
  <c r="P8" i="168"/>
  <c r="Q8" i="168"/>
  <c r="P37" i="168"/>
  <c r="Q37" i="168"/>
  <c r="P21" i="168"/>
  <c r="Q21" i="168"/>
  <c r="P40" i="168"/>
  <c r="Q40" i="168"/>
  <c r="P25" i="168"/>
  <c r="Q25" i="168"/>
  <c r="P63" i="168"/>
  <c r="Q63" i="168"/>
  <c r="I6" i="157" s="1"/>
  <c r="P84" i="172"/>
  <c r="Q84" i="172"/>
  <c r="I15" i="156" s="1"/>
  <c r="P178" i="172"/>
  <c r="Q178" i="172"/>
  <c r="P105" i="172"/>
  <c r="Q105" i="172"/>
  <c r="P102" i="172"/>
  <c r="Q102" i="172"/>
  <c r="P114" i="172"/>
  <c r="Q114" i="172"/>
  <c r="P18" i="172"/>
  <c r="Q18" i="172"/>
  <c r="Q31" i="172"/>
  <c r="P31" i="172"/>
  <c r="Q60" i="172"/>
  <c r="P60" i="172"/>
  <c r="P176" i="172"/>
  <c r="Q176" i="172"/>
  <c r="Q83" i="172"/>
  <c r="P83" i="172"/>
  <c r="Q242" i="172"/>
  <c r="P242" i="172"/>
  <c r="Q218" i="172"/>
  <c r="P218" i="172"/>
  <c r="P204" i="172"/>
  <c r="Q204" i="172"/>
  <c r="P15" i="172"/>
  <c r="Q15" i="172"/>
  <c r="P42" i="172"/>
  <c r="Q42" i="172"/>
  <c r="P162" i="172"/>
  <c r="Q162" i="172"/>
  <c r="P88" i="172"/>
  <c r="Q88" i="172"/>
  <c r="P117" i="172"/>
  <c r="Q117" i="172"/>
  <c r="P143" i="172"/>
  <c r="Q143" i="172"/>
  <c r="P226" i="172"/>
  <c r="Q226" i="172"/>
  <c r="P73" i="168"/>
  <c r="Q73" i="168"/>
  <c r="P51" i="168"/>
  <c r="Q51" i="168"/>
  <c r="P45" i="168"/>
  <c r="Q45" i="168"/>
  <c r="P13" i="168"/>
  <c r="Q13" i="168"/>
  <c r="P74" i="172"/>
  <c r="Q74" i="172"/>
  <c r="Q14" i="172"/>
  <c r="P14" i="172"/>
  <c r="Q153" i="172"/>
  <c r="P153" i="172"/>
  <c r="P40" i="172"/>
  <c r="Q40" i="172"/>
  <c r="P82" i="172"/>
  <c r="Q82" i="172"/>
  <c r="Q46" i="172"/>
  <c r="P46" i="172"/>
  <c r="Q39" i="172"/>
  <c r="P39" i="172"/>
  <c r="P24" i="172"/>
  <c r="Q24" i="172"/>
  <c r="Q111" i="172"/>
  <c r="P111" i="172"/>
  <c r="P196" i="172"/>
  <c r="Q196" i="172"/>
  <c r="P58" i="172"/>
  <c r="Q58" i="172"/>
  <c r="P233" i="172"/>
  <c r="Q233" i="172"/>
  <c r="P171" i="172"/>
  <c r="Q171" i="172"/>
  <c r="Q126" i="172"/>
  <c r="P126" i="172"/>
  <c r="Q55" i="172"/>
  <c r="P55" i="172"/>
  <c r="P115" i="172"/>
  <c r="Q115" i="172"/>
  <c r="P68" i="172"/>
  <c r="Q68" i="172"/>
  <c r="P118" i="172"/>
  <c r="Q118" i="172"/>
  <c r="P123" i="172"/>
  <c r="Q123" i="172"/>
  <c r="P206" i="172"/>
  <c r="Q206" i="172"/>
  <c r="P26" i="172"/>
  <c r="Q26" i="172"/>
  <c r="P175" i="172"/>
  <c r="Q175" i="172"/>
  <c r="P62" i="168"/>
  <c r="Q62" i="168"/>
  <c r="P69" i="168"/>
  <c r="Q69" i="168"/>
  <c r="P27" i="168"/>
  <c r="Q27" i="168"/>
  <c r="P31" i="168"/>
  <c r="Q31" i="168"/>
  <c r="I9" i="157" s="1"/>
  <c r="P30" i="168"/>
  <c r="Q30" i="168"/>
  <c r="I10" i="157" s="1"/>
  <c r="P65" i="168"/>
  <c r="Q65" i="168"/>
  <c r="Q212" i="172"/>
  <c r="P212" i="172"/>
  <c r="Q22" i="168"/>
  <c r="P22" i="168"/>
  <c r="P52" i="168"/>
  <c r="Q52" i="168"/>
  <c r="P44" i="168"/>
  <c r="Q44" i="168"/>
  <c r="P54" i="168"/>
  <c r="Q54" i="168"/>
  <c r="P23" i="168"/>
  <c r="Q23" i="168"/>
  <c r="P36" i="168"/>
  <c r="Q36" i="168"/>
  <c r="P12" i="168"/>
  <c r="Q12" i="168"/>
  <c r="P41" i="168"/>
  <c r="Q41" i="168"/>
  <c r="P75" i="168"/>
  <c r="Q75" i="168"/>
  <c r="P124" i="172"/>
  <c r="Q124" i="172"/>
  <c r="P79" i="172"/>
  <c r="Q79" i="172"/>
  <c r="P157" i="172"/>
  <c r="Q157" i="172"/>
  <c r="Q109" i="172"/>
  <c r="P109" i="172"/>
  <c r="P225" i="172"/>
  <c r="Q225" i="172"/>
  <c r="P193" i="172"/>
  <c r="Q193" i="172"/>
  <c r="P70" i="172"/>
  <c r="Q70" i="172"/>
  <c r="P221" i="172"/>
  <c r="Q221" i="172"/>
  <c r="P219" i="172"/>
  <c r="Q219" i="172"/>
  <c r="P71" i="172"/>
  <c r="Q71" i="172"/>
  <c r="P72" i="172"/>
  <c r="Q72" i="172"/>
  <c r="Q163" i="172"/>
  <c r="P163" i="172"/>
  <c r="P8" i="172"/>
  <c r="Q8" i="172"/>
  <c r="Q85" i="172"/>
  <c r="P85" i="172"/>
  <c r="P250" i="172"/>
  <c r="Q250" i="172"/>
  <c r="P150" i="172"/>
  <c r="Q150" i="172"/>
  <c r="P239" i="172"/>
  <c r="Q239" i="172"/>
  <c r="P170" i="172"/>
  <c r="Q170" i="172"/>
  <c r="P53" i="172"/>
  <c r="Q53" i="172"/>
  <c r="P146" i="172"/>
  <c r="Q146" i="172"/>
  <c r="I8" i="156" s="1"/>
  <c r="P106" i="172"/>
  <c r="Q106" i="172"/>
  <c r="P23" i="172"/>
  <c r="Q23" i="172"/>
  <c r="P181" i="172"/>
  <c r="Q181" i="172"/>
  <c r="Q59" i="172"/>
  <c r="P59" i="172"/>
  <c r="P50" i="168"/>
  <c r="Q50" i="168"/>
  <c r="P26" i="168"/>
  <c r="Q26" i="168"/>
  <c r="P60" i="168"/>
  <c r="Q60" i="168"/>
  <c r="P18" i="168"/>
  <c r="Q18" i="168"/>
  <c r="P47" i="168"/>
  <c r="Q47" i="168"/>
  <c r="P70" i="168"/>
  <c r="Q70" i="168"/>
  <c r="P53" i="168"/>
  <c r="Q53" i="168"/>
  <c r="P28" i="168"/>
  <c r="Q28" i="168"/>
  <c r="P58" i="168"/>
  <c r="Q58" i="168"/>
  <c r="P35" i="168"/>
  <c r="Q35" i="168"/>
  <c r="P51" i="172"/>
  <c r="Q51" i="172"/>
  <c r="P25" i="172"/>
  <c r="Q25" i="172"/>
  <c r="P156" i="172"/>
  <c r="Q156" i="172"/>
  <c r="P32" i="172"/>
  <c r="Q32" i="172"/>
  <c r="P192" i="172"/>
  <c r="Q192" i="172"/>
  <c r="Q139" i="172"/>
  <c r="P139" i="172"/>
  <c r="Q234" i="172"/>
  <c r="P234" i="172"/>
  <c r="P66" i="172"/>
  <c r="Q66" i="172"/>
  <c r="P183" i="172"/>
  <c r="Q183" i="172"/>
  <c r="P98" i="172"/>
  <c r="Q98" i="172"/>
  <c r="P91" i="172"/>
  <c r="Q91" i="172"/>
  <c r="P16" i="172"/>
  <c r="Q16" i="172"/>
  <c r="P29" i="172"/>
  <c r="Q29" i="172"/>
  <c r="P167" i="172"/>
  <c r="Q167" i="172"/>
  <c r="P73" i="172"/>
  <c r="Q73" i="172"/>
  <c r="P43" i="172"/>
  <c r="Q43" i="172"/>
  <c r="P122" i="172"/>
  <c r="Q122" i="172"/>
  <c r="P223" i="172"/>
  <c r="Q223" i="172"/>
  <c r="P103" i="172"/>
  <c r="Q103" i="172"/>
  <c r="Q95" i="172"/>
  <c r="P95" i="172"/>
  <c r="P65" i="172"/>
  <c r="Q65" i="172"/>
  <c r="P154" i="172"/>
  <c r="Q154" i="172"/>
  <c r="Q220" i="172"/>
  <c r="P220" i="172"/>
  <c r="P172" i="172"/>
  <c r="Q172" i="172"/>
  <c r="P101" i="172"/>
  <c r="Q101" i="172"/>
  <c r="AD7" i="133"/>
  <c r="AE6" i="133"/>
  <c r="AB6" i="124"/>
  <c r="AA7" i="124"/>
  <c r="I7" i="157" l="1"/>
  <c r="I23" i="157"/>
  <c r="I19" i="157"/>
  <c r="I17" i="157"/>
  <c r="I14" i="157"/>
  <c r="I13" i="157"/>
  <c r="I11" i="157"/>
  <c r="I22" i="157"/>
  <c r="I12" i="157"/>
  <c r="I15" i="157"/>
  <c r="I21" i="157"/>
  <c r="I18" i="156"/>
  <c r="I6" i="156"/>
  <c r="I22" i="156"/>
  <c r="I24" i="156"/>
  <c r="I16" i="156"/>
  <c r="I21" i="156"/>
  <c r="I13" i="156"/>
  <c r="I14" i="156"/>
  <c r="I12" i="156"/>
  <c r="I10" i="156"/>
  <c r="I17" i="156"/>
  <c r="I23" i="156"/>
  <c r="D7" i="112"/>
  <c r="N7" i="112"/>
  <c r="I7" i="112"/>
  <c r="P5" i="168"/>
  <c r="P6" i="168"/>
  <c r="O77" i="134"/>
  <c r="J32" i="2" s="1"/>
  <c r="O252" i="125"/>
  <c r="J31" i="2" s="1"/>
  <c r="Q6" i="168"/>
  <c r="Q5" i="168"/>
  <c r="AE7" i="133"/>
  <c r="AF6" i="133"/>
  <c r="AC6" i="124"/>
  <c r="AB7" i="124"/>
  <c r="I42" i="112" l="1"/>
  <c r="I43" i="112"/>
  <c r="N43" i="112"/>
  <c r="N42" i="112"/>
  <c r="D43" i="112"/>
  <c r="D42" i="112"/>
  <c r="J34" i="2"/>
  <c r="J25" i="2"/>
  <c r="AG6" i="133"/>
  <c r="AF7" i="133"/>
  <c r="AD6" i="124"/>
  <c r="AC7" i="124"/>
  <c r="D47" i="112" l="1"/>
  <c r="D65" i="112" s="1"/>
  <c r="D71" i="112" s="1"/>
  <c r="D72" i="112" s="1"/>
  <c r="N47" i="112"/>
  <c r="N65" i="112" s="1"/>
  <c r="N71" i="112" s="1"/>
  <c r="N72" i="112" s="1"/>
  <c r="P72" i="112" s="1"/>
  <c r="I47" i="112"/>
  <c r="I65" i="112" s="1"/>
  <c r="I71" i="112" s="1"/>
  <c r="AH6" i="133"/>
  <c r="AG7" i="133"/>
  <c r="AD7" i="124"/>
  <c r="AE6" i="124"/>
  <c r="F71" i="112" l="1"/>
  <c r="P71" i="112"/>
  <c r="I72" i="112"/>
  <c r="K72" i="112" s="1"/>
  <c r="K71" i="112"/>
  <c r="F72" i="112"/>
  <c r="AI6" i="133"/>
  <c r="AH7" i="133"/>
  <c r="AF6" i="124"/>
  <c r="AE7" i="124"/>
  <c r="F78" i="112" l="1"/>
  <c r="F77" i="112"/>
  <c r="AI7" i="133"/>
  <c r="AJ6" i="133"/>
  <c r="AF7" i="124"/>
  <c r="AG6" i="124"/>
  <c r="N3" i="133" l="1"/>
  <c r="J54" i="2"/>
  <c r="N3" i="124"/>
  <c r="AK6" i="133"/>
  <c r="AJ7" i="133"/>
  <c r="AH6" i="124"/>
  <c r="AG7" i="124"/>
  <c r="N138" i="124" l="1"/>
  <c r="N188" i="124"/>
  <c r="N239" i="124"/>
  <c r="N104" i="124"/>
  <c r="N82" i="124"/>
  <c r="N190" i="124"/>
  <c r="N80" i="124"/>
  <c r="N145" i="124"/>
  <c r="N13" i="124"/>
  <c r="N54" i="124"/>
  <c r="N45" i="124"/>
  <c r="N87" i="124"/>
  <c r="N250" i="124"/>
  <c r="N181" i="124"/>
  <c r="N59" i="124"/>
  <c r="N227" i="124"/>
  <c r="N147" i="124"/>
  <c r="N214" i="124"/>
  <c r="N231" i="124"/>
  <c r="N37" i="124"/>
  <c r="N159" i="124"/>
  <c r="N130" i="124"/>
  <c r="N156" i="124"/>
  <c r="N124" i="124"/>
  <c r="N235" i="124"/>
  <c r="N67" i="124"/>
  <c r="N65" i="124"/>
  <c r="N225" i="124"/>
  <c r="N195" i="124"/>
  <c r="N206" i="124"/>
  <c r="N234" i="124"/>
  <c r="N79" i="124"/>
  <c r="N61" i="124"/>
  <c r="N31" i="124"/>
  <c r="N216" i="124"/>
  <c r="N9" i="124"/>
  <c r="N103" i="124"/>
  <c r="N153" i="124"/>
  <c r="N177" i="124"/>
  <c r="N207" i="124"/>
  <c r="N49" i="124"/>
  <c r="N229" i="124"/>
  <c r="N149" i="124"/>
  <c r="N97" i="124"/>
  <c r="N114" i="124"/>
  <c r="N23" i="124"/>
  <c r="N105" i="124"/>
  <c r="N219" i="124"/>
  <c r="N106" i="124"/>
  <c r="N182" i="124"/>
  <c r="N19" i="124"/>
  <c r="N93" i="124"/>
  <c r="N109" i="124"/>
  <c r="N167" i="124"/>
  <c r="N32" i="124"/>
  <c r="N122" i="124"/>
  <c r="N224" i="124"/>
  <c r="N95" i="124"/>
  <c r="N215" i="124"/>
  <c r="N193" i="124"/>
  <c r="N223" i="124"/>
  <c r="N42" i="124"/>
  <c r="N132" i="124"/>
  <c r="N143" i="124"/>
  <c r="N196" i="124"/>
  <c r="N25" i="124"/>
  <c r="N121" i="124"/>
  <c r="N101" i="124"/>
  <c r="N228" i="124"/>
  <c r="N212" i="124"/>
  <c r="N248" i="124"/>
  <c r="N35" i="124"/>
  <c r="N14" i="124"/>
  <c r="N27" i="124"/>
  <c r="N194" i="124"/>
  <c r="N17" i="124"/>
  <c r="N100" i="124"/>
  <c r="N22" i="124"/>
  <c r="N131" i="124"/>
  <c r="N64" i="124"/>
  <c r="N43" i="124"/>
  <c r="N245" i="124"/>
  <c r="N127" i="124"/>
  <c r="N78" i="124"/>
  <c r="N161" i="124"/>
  <c r="N241" i="124"/>
  <c r="N205" i="124"/>
  <c r="N116" i="124"/>
  <c r="N201" i="124"/>
  <c r="N222" i="124"/>
  <c r="N168" i="124"/>
  <c r="N150" i="124"/>
  <c r="N204" i="124"/>
  <c r="N57" i="124"/>
  <c r="N48" i="124"/>
  <c r="N26" i="124"/>
  <c r="N36" i="124"/>
  <c r="N226" i="124"/>
  <c r="N140" i="124"/>
  <c r="N187" i="124"/>
  <c r="N158" i="124"/>
  <c r="N29" i="124"/>
  <c r="N169" i="124"/>
  <c r="N71" i="124"/>
  <c r="N139" i="124"/>
  <c r="N28" i="124"/>
  <c r="N73" i="124"/>
  <c r="N98" i="124"/>
  <c r="N189" i="124"/>
  <c r="N200" i="124"/>
  <c r="N8" i="124"/>
  <c r="N68" i="124"/>
  <c r="N236" i="124"/>
  <c r="N46" i="124"/>
  <c r="N230" i="124"/>
  <c r="N117" i="124"/>
  <c r="N33" i="124"/>
  <c r="N15" i="124"/>
  <c r="N86" i="124"/>
  <c r="N38" i="124"/>
  <c r="N198" i="124"/>
  <c r="N135" i="124"/>
  <c r="N92" i="124"/>
  <c r="N238" i="124"/>
  <c r="N18" i="124"/>
  <c r="N240" i="124"/>
  <c r="N220" i="124"/>
  <c r="N112" i="124"/>
  <c r="N175" i="124"/>
  <c r="N96" i="124"/>
  <c r="N154" i="124"/>
  <c r="N107" i="124"/>
  <c r="N34" i="124"/>
  <c r="N123" i="124"/>
  <c r="N115" i="124"/>
  <c r="N51" i="124"/>
  <c r="N184" i="124"/>
  <c r="N251" i="124"/>
  <c r="N21" i="124"/>
  <c r="N94" i="124"/>
  <c r="N69" i="124"/>
  <c r="N52" i="124"/>
  <c r="N136" i="124"/>
  <c r="N88" i="124"/>
  <c r="N157" i="124"/>
  <c r="N53" i="124"/>
  <c r="N186" i="124"/>
  <c r="N89" i="124"/>
  <c r="N76" i="124"/>
  <c r="N119" i="124"/>
  <c r="N151" i="124"/>
  <c r="N129" i="124"/>
  <c r="N30" i="124"/>
  <c r="N183" i="124"/>
  <c r="N155" i="124"/>
  <c r="N244" i="124"/>
  <c r="N110" i="124"/>
  <c r="N208" i="124"/>
  <c r="N171" i="124"/>
  <c r="N11" i="124"/>
  <c r="N41" i="124"/>
  <c r="N16" i="124"/>
  <c r="N134" i="124"/>
  <c r="N60" i="124"/>
  <c r="N85" i="124"/>
  <c r="N232" i="124"/>
  <c r="N141" i="124"/>
  <c r="N203" i="124"/>
  <c r="N249" i="124"/>
  <c r="N185" i="124"/>
  <c r="N142" i="124"/>
  <c r="N10" i="124"/>
  <c r="N217" i="124"/>
  <c r="N113" i="124"/>
  <c r="N178" i="124"/>
  <c r="N120" i="124"/>
  <c r="N91" i="124"/>
  <c r="N148" i="124"/>
  <c r="N44" i="124"/>
  <c r="N160" i="124"/>
  <c r="N221" i="124"/>
  <c r="N47" i="124"/>
  <c r="N162" i="124"/>
  <c r="N108" i="124"/>
  <c r="N246" i="124"/>
  <c r="N172" i="124"/>
  <c r="N99" i="124"/>
  <c r="N125" i="124"/>
  <c r="N213" i="124"/>
  <c r="N84" i="124"/>
  <c r="N102" i="124"/>
  <c r="N218" i="124"/>
  <c r="N166" i="124"/>
  <c r="N173" i="124"/>
  <c r="N58" i="124"/>
  <c r="N128" i="124"/>
  <c r="N90" i="124"/>
  <c r="N202" i="124"/>
  <c r="N111" i="124"/>
  <c r="N152" i="124"/>
  <c r="N237" i="124"/>
  <c r="N74" i="124"/>
  <c r="N56" i="124"/>
  <c r="N199" i="124"/>
  <c r="N247" i="124"/>
  <c r="N137" i="124"/>
  <c r="N20" i="124"/>
  <c r="N50" i="124"/>
  <c r="N170" i="124"/>
  <c r="N210" i="124"/>
  <c r="N209" i="124"/>
  <c r="N63" i="124"/>
  <c r="N12" i="124"/>
  <c r="N180" i="124"/>
  <c r="N118" i="124"/>
  <c r="N133" i="124"/>
  <c r="N62" i="124"/>
  <c r="N77" i="124"/>
  <c r="N144" i="124"/>
  <c r="N179" i="124"/>
  <c r="N174" i="124"/>
  <c r="N146" i="124"/>
  <c r="N242" i="124"/>
  <c r="N72" i="124"/>
  <c r="N66" i="124"/>
  <c r="N126" i="124"/>
  <c r="N55" i="124"/>
  <c r="N197" i="124"/>
  <c r="N75" i="124"/>
  <c r="N39" i="124"/>
  <c r="N233" i="124"/>
  <c r="N192" i="124"/>
  <c r="N40" i="124"/>
  <c r="N191" i="124"/>
  <c r="N165" i="124"/>
  <c r="N176" i="124"/>
  <c r="N243" i="124"/>
  <c r="N163" i="124"/>
  <c r="N24" i="124"/>
  <c r="N83" i="124"/>
  <c r="N164" i="124"/>
  <c r="N81" i="124"/>
  <c r="N211" i="124"/>
  <c r="N70" i="124"/>
  <c r="N36" i="133"/>
  <c r="N76" i="133"/>
  <c r="N27" i="133"/>
  <c r="N16" i="133"/>
  <c r="N8" i="133"/>
  <c r="N60" i="133"/>
  <c r="N34" i="133"/>
  <c r="N26" i="133"/>
  <c r="N53" i="133"/>
  <c r="N32" i="133"/>
  <c r="N41" i="133"/>
  <c r="N10" i="133"/>
  <c r="N20" i="133"/>
  <c r="N72" i="133"/>
  <c r="N66" i="133"/>
  <c r="N28" i="133"/>
  <c r="N9" i="133"/>
  <c r="N63" i="133"/>
  <c r="N15" i="133"/>
  <c r="N23" i="133"/>
  <c r="N65" i="133"/>
  <c r="N50" i="133"/>
  <c r="N61" i="133"/>
  <c r="N33" i="133"/>
  <c r="N13" i="133"/>
  <c r="N56" i="133"/>
  <c r="N18" i="133"/>
  <c r="N42" i="133"/>
  <c r="N43" i="133"/>
  <c r="N21" i="133"/>
  <c r="N69" i="133"/>
  <c r="N55" i="133"/>
  <c r="N12" i="133"/>
  <c r="N54" i="133"/>
  <c r="N24" i="133"/>
  <c r="N57" i="133"/>
  <c r="N31" i="133"/>
  <c r="N47" i="133"/>
  <c r="N73" i="133"/>
  <c r="N68" i="133"/>
  <c r="N40" i="133"/>
  <c r="N30" i="133"/>
  <c r="N14" i="133"/>
  <c r="N44" i="133"/>
  <c r="N19" i="133"/>
  <c r="N25" i="133"/>
  <c r="N39" i="133"/>
  <c r="N71" i="133"/>
  <c r="N29" i="133"/>
  <c r="N58" i="133"/>
  <c r="N38" i="133"/>
  <c r="N70" i="133"/>
  <c r="N49" i="133"/>
  <c r="N59" i="133"/>
  <c r="N64" i="133"/>
  <c r="N48" i="133"/>
  <c r="N67" i="133"/>
  <c r="N52" i="133"/>
  <c r="N46" i="133"/>
  <c r="N22" i="133"/>
  <c r="N17" i="133"/>
  <c r="N74" i="133"/>
  <c r="N45" i="133"/>
  <c r="N51" i="133"/>
  <c r="N11" i="133"/>
  <c r="N37" i="133"/>
  <c r="N75" i="133"/>
  <c r="N35" i="133"/>
  <c r="N62" i="133"/>
  <c r="AL6" i="133"/>
  <c r="AK7" i="133"/>
  <c r="AI6" i="124"/>
  <c r="AH7" i="124"/>
  <c r="B26" i="156"/>
  <c r="C26" i="156" s="1"/>
  <c r="L134" i="172" l="1"/>
  <c r="L199" i="172"/>
  <c r="L137" i="172"/>
  <c r="L174" i="172"/>
  <c r="L136" i="172"/>
  <c r="L135" i="172"/>
  <c r="L132" i="172"/>
  <c r="L236" i="172"/>
  <c r="L133" i="172"/>
  <c r="L244" i="172"/>
  <c r="L131" i="172"/>
  <c r="L138" i="172"/>
  <c r="P22" i="133"/>
  <c r="O22" i="133"/>
  <c r="AZ22" i="133" s="1"/>
  <c r="O10" i="133"/>
  <c r="AZ10" i="133" s="1"/>
  <c r="P10" i="133"/>
  <c r="O83" i="124"/>
  <c r="AZ83" i="124" s="1"/>
  <c r="P83" i="124"/>
  <c r="P133" i="124"/>
  <c r="O133" i="124"/>
  <c r="AZ133" i="124" s="1"/>
  <c r="O152" i="124"/>
  <c r="AZ152" i="124" s="1"/>
  <c r="P152" i="124"/>
  <c r="O108" i="124"/>
  <c r="AZ108" i="124" s="1"/>
  <c r="P108" i="124"/>
  <c r="P203" i="124"/>
  <c r="O203" i="124"/>
  <c r="AZ203" i="124" s="1"/>
  <c r="O129" i="124"/>
  <c r="AZ129" i="124" s="1"/>
  <c r="P129" i="124"/>
  <c r="O51" i="124"/>
  <c r="AZ51" i="124" s="1"/>
  <c r="P51" i="124"/>
  <c r="P38" i="124"/>
  <c r="O38" i="124"/>
  <c r="AZ38" i="124" s="1"/>
  <c r="O71" i="124"/>
  <c r="AZ71" i="124" s="1"/>
  <c r="P71" i="124"/>
  <c r="O116" i="124"/>
  <c r="AZ116" i="124" s="1"/>
  <c r="P116" i="124"/>
  <c r="O35" i="124"/>
  <c r="AZ35" i="124" s="1"/>
  <c r="P35" i="124"/>
  <c r="P143" i="124"/>
  <c r="O143" i="124"/>
  <c r="AZ143" i="124" s="1"/>
  <c r="O219" i="124"/>
  <c r="AZ219" i="124" s="1"/>
  <c r="P219" i="124"/>
  <c r="P207" i="124"/>
  <c r="O207" i="124"/>
  <c r="AZ207" i="124" s="1"/>
  <c r="O79" i="124"/>
  <c r="AZ79" i="124" s="1"/>
  <c r="P79" i="124"/>
  <c r="O145" i="124"/>
  <c r="AZ145" i="124" s="1"/>
  <c r="P145" i="124"/>
  <c r="O75" i="133"/>
  <c r="AZ75" i="133" s="1"/>
  <c r="P75" i="133"/>
  <c r="O46" i="133"/>
  <c r="AZ46" i="133" s="1"/>
  <c r="P46" i="133"/>
  <c r="P38" i="133"/>
  <c r="O38" i="133"/>
  <c r="AZ38" i="133" s="1"/>
  <c r="P14" i="133"/>
  <c r="O14" i="133"/>
  <c r="AZ14" i="133" s="1"/>
  <c r="P24" i="133"/>
  <c r="O24" i="133"/>
  <c r="AZ24" i="133" s="1"/>
  <c r="O18" i="133"/>
  <c r="AZ18" i="133" s="1"/>
  <c r="P18" i="133"/>
  <c r="O15" i="133"/>
  <c r="AZ15" i="133" s="1"/>
  <c r="P15" i="133"/>
  <c r="O41" i="133"/>
  <c r="AZ41" i="133" s="1"/>
  <c r="P41" i="133"/>
  <c r="P27" i="133"/>
  <c r="O27" i="133"/>
  <c r="AZ27" i="133" s="1"/>
  <c r="O24" i="124"/>
  <c r="AZ24" i="124" s="1"/>
  <c r="P24" i="124"/>
  <c r="P233" i="124"/>
  <c r="O233" i="124"/>
  <c r="AZ233" i="124" s="1"/>
  <c r="O242" i="124"/>
  <c r="AZ242" i="124" s="1"/>
  <c r="P242" i="124"/>
  <c r="O118" i="124"/>
  <c r="AZ118" i="124" s="1"/>
  <c r="P118" i="124"/>
  <c r="P20" i="124"/>
  <c r="O20" i="124"/>
  <c r="AZ20" i="124" s="1"/>
  <c r="P111" i="124"/>
  <c r="O111" i="124"/>
  <c r="AZ111" i="124" s="1"/>
  <c r="O102" i="124"/>
  <c r="AZ102" i="124" s="1"/>
  <c r="P102" i="124"/>
  <c r="O162" i="124"/>
  <c r="AZ162" i="124" s="1"/>
  <c r="P162" i="124"/>
  <c r="P178" i="124"/>
  <c r="O178" i="124"/>
  <c r="AZ178" i="124" s="1"/>
  <c r="P141" i="124"/>
  <c r="O141" i="124"/>
  <c r="AZ141" i="124" s="1"/>
  <c r="P171" i="124"/>
  <c r="O171" i="124"/>
  <c r="AZ171" i="124" s="1"/>
  <c r="O151" i="124"/>
  <c r="AZ151" i="124" s="1"/>
  <c r="P151" i="124"/>
  <c r="O136" i="124"/>
  <c r="AZ136" i="124" s="1"/>
  <c r="P136" i="124"/>
  <c r="P115" i="124"/>
  <c r="O115" i="124"/>
  <c r="AZ115" i="124" s="1"/>
  <c r="O220" i="124"/>
  <c r="AZ220" i="124" s="1"/>
  <c r="P220" i="124"/>
  <c r="P86" i="124"/>
  <c r="O86" i="124"/>
  <c r="AZ86" i="124" s="1"/>
  <c r="O8" i="124"/>
  <c r="AZ8" i="124" s="1"/>
  <c r="P8" i="124"/>
  <c r="O169" i="124"/>
  <c r="AZ169" i="124" s="1"/>
  <c r="P169" i="124"/>
  <c r="O48" i="124"/>
  <c r="AZ48" i="124" s="1"/>
  <c r="P48" i="124"/>
  <c r="O205" i="124"/>
  <c r="AZ205" i="124" s="1"/>
  <c r="P205" i="124"/>
  <c r="P131" i="124"/>
  <c r="O131" i="124"/>
  <c r="AZ131" i="124" s="1"/>
  <c r="O248" i="124"/>
  <c r="AZ248" i="124" s="1"/>
  <c r="P248" i="124"/>
  <c r="O132" i="124"/>
  <c r="AZ132" i="124" s="1"/>
  <c r="P132" i="124"/>
  <c r="P32" i="124"/>
  <c r="O32" i="124"/>
  <c r="AZ32" i="124" s="1"/>
  <c r="O105" i="124"/>
  <c r="AZ105" i="124" s="1"/>
  <c r="P105" i="124"/>
  <c r="O177" i="124"/>
  <c r="AZ177" i="124" s="1"/>
  <c r="P177" i="124"/>
  <c r="O234" i="124"/>
  <c r="AZ234" i="124" s="1"/>
  <c r="P234" i="124"/>
  <c r="O156" i="124"/>
  <c r="AZ156" i="124" s="1"/>
  <c r="P156" i="124"/>
  <c r="P59" i="124"/>
  <c r="O59" i="124"/>
  <c r="AZ59" i="124" s="1"/>
  <c r="O80" i="124"/>
  <c r="AZ80" i="124" s="1"/>
  <c r="P80" i="124"/>
  <c r="P124" i="124"/>
  <c r="O124" i="124"/>
  <c r="AZ124" i="124" s="1"/>
  <c r="O37" i="133"/>
  <c r="AZ37" i="133" s="1"/>
  <c r="P37" i="133"/>
  <c r="P52" i="133"/>
  <c r="O52" i="133"/>
  <c r="AZ52" i="133" s="1"/>
  <c r="P58" i="133"/>
  <c r="O58" i="133"/>
  <c r="AZ58" i="133" s="1"/>
  <c r="O30" i="133"/>
  <c r="AZ30" i="133" s="1"/>
  <c r="P30" i="133"/>
  <c r="I12" i="102" s="1"/>
  <c r="O54" i="133"/>
  <c r="AZ54" i="133" s="1"/>
  <c r="P54" i="133"/>
  <c r="P56" i="133"/>
  <c r="O56" i="133"/>
  <c r="AZ56" i="133" s="1"/>
  <c r="O63" i="133"/>
  <c r="AZ63" i="133" s="1"/>
  <c r="P63" i="133"/>
  <c r="I6" i="102" s="1"/>
  <c r="P32" i="133"/>
  <c r="O32" i="133"/>
  <c r="AZ32" i="133" s="1"/>
  <c r="P76" i="133"/>
  <c r="O76" i="133"/>
  <c r="AZ76" i="133" s="1"/>
  <c r="O163" i="124"/>
  <c r="AZ163" i="124" s="1"/>
  <c r="P163" i="124"/>
  <c r="O39" i="124"/>
  <c r="AZ39" i="124" s="1"/>
  <c r="P39" i="124"/>
  <c r="P146" i="124"/>
  <c r="O146" i="124"/>
  <c r="AZ146" i="124" s="1"/>
  <c r="O180" i="124"/>
  <c r="AZ180" i="124" s="1"/>
  <c r="P180" i="124"/>
  <c r="O137" i="124"/>
  <c r="AZ137" i="124" s="1"/>
  <c r="P137" i="124"/>
  <c r="O202" i="124"/>
  <c r="AZ202" i="124" s="1"/>
  <c r="P202" i="124"/>
  <c r="P84" i="124"/>
  <c r="O84" i="124"/>
  <c r="AZ84" i="124" s="1"/>
  <c r="O47" i="124"/>
  <c r="AZ47" i="124" s="1"/>
  <c r="P47" i="124"/>
  <c r="O113" i="124"/>
  <c r="AZ113" i="124" s="1"/>
  <c r="P113" i="124"/>
  <c r="O232" i="124"/>
  <c r="AZ232" i="124" s="1"/>
  <c r="P232" i="124"/>
  <c r="P208" i="124"/>
  <c r="O208" i="124"/>
  <c r="AZ208" i="124" s="1"/>
  <c r="O119" i="124"/>
  <c r="AZ119" i="124" s="1"/>
  <c r="P119" i="124"/>
  <c r="P52" i="124"/>
  <c r="O52" i="124"/>
  <c r="AZ52" i="124" s="1"/>
  <c r="O123" i="124"/>
  <c r="AZ123" i="124" s="1"/>
  <c r="P123" i="124"/>
  <c r="O240" i="124"/>
  <c r="AZ240" i="124" s="1"/>
  <c r="P240" i="124"/>
  <c r="O15" i="124"/>
  <c r="AZ15" i="124" s="1"/>
  <c r="P15" i="124"/>
  <c r="P200" i="124"/>
  <c r="O200" i="124"/>
  <c r="AZ200" i="124" s="1"/>
  <c r="P29" i="124"/>
  <c r="O29" i="124"/>
  <c r="AZ29" i="124" s="1"/>
  <c r="P57" i="124"/>
  <c r="O57" i="124"/>
  <c r="AZ57" i="124" s="1"/>
  <c r="P241" i="124"/>
  <c r="O241" i="124"/>
  <c r="AZ241" i="124" s="1"/>
  <c r="P22" i="124"/>
  <c r="O22" i="124"/>
  <c r="AZ22" i="124" s="1"/>
  <c r="O212" i="124"/>
  <c r="AZ212" i="124" s="1"/>
  <c r="P212" i="124"/>
  <c r="P42" i="124"/>
  <c r="O42" i="124"/>
  <c r="AZ42" i="124" s="1"/>
  <c r="O167" i="124"/>
  <c r="AZ167" i="124" s="1"/>
  <c r="P167" i="124"/>
  <c r="O23" i="124"/>
  <c r="AZ23" i="124" s="1"/>
  <c r="P23" i="124"/>
  <c r="P153" i="124"/>
  <c r="O153" i="124"/>
  <c r="AZ153" i="124" s="1"/>
  <c r="O206" i="124"/>
  <c r="AZ206" i="124" s="1"/>
  <c r="P206" i="124"/>
  <c r="P130" i="124"/>
  <c r="O130" i="124"/>
  <c r="AZ130" i="124" s="1"/>
  <c r="O181" i="124"/>
  <c r="AZ181" i="124" s="1"/>
  <c r="P181" i="124"/>
  <c r="O190" i="124"/>
  <c r="AZ190" i="124" s="1"/>
  <c r="P190" i="124"/>
  <c r="P11" i="133"/>
  <c r="O11" i="133"/>
  <c r="AZ11" i="133" s="1"/>
  <c r="P67" i="133"/>
  <c r="O67" i="133"/>
  <c r="AZ67" i="133" s="1"/>
  <c r="P29" i="133"/>
  <c r="O29" i="133"/>
  <c r="AZ29" i="133" s="1"/>
  <c r="O40" i="133"/>
  <c r="AZ40" i="133" s="1"/>
  <c r="P40" i="133"/>
  <c r="O12" i="133"/>
  <c r="AZ12" i="133" s="1"/>
  <c r="P12" i="133"/>
  <c r="P13" i="133"/>
  <c r="O13" i="133"/>
  <c r="AZ13" i="133" s="1"/>
  <c r="O9" i="133"/>
  <c r="AZ9" i="133" s="1"/>
  <c r="P9" i="133"/>
  <c r="P53" i="133"/>
  <c r="O53" i="133"/>
  <c r="AZ53" i="133" s="1"/>
  <c r="O36" i="133"/>
  <c r="AZ36" i="133" s="1"/>
  <c r="P36" i="133"/>
  <c r="O243" i="124"/>
  <c r="AZ243" i="124" s="1"/>
  <c r="P243" i="124"/>
  <c r="P75" i="124"/>
  <c r="O75" i="124"/>
  <c r="AZ75" i="124" s="1"/>
  <c r="P174" i="124"/>
  <c r="O174" i="124"/>
  <c r="AZ174" i="124" s="1"/>
  <c r="O12" i="124"/>
  <c r="AZ12" i="124" s="1"/>
  <c r="P12" i="124"/>
  <c r="O247" i="124"/>
  <c r="AZ247" i="124" s="1"/>
  <c r="P247" i="124"/>
  <c r="P90" i="124"/>
  <c r="O90" i="124"/>
  <c r="AZ90" i="124" s="1"/>
  <c r="P213" i="124"/>
  <c r="O213" i="124"/>
  <c r="AZ213" i="124" s="1"/>
  <c r="O221" i="124"/>
  <c r="AZ221" i="124" s="1"/>
  <c r="P221" i="124"/>
  <c r="P217" i="124"/>
  <c r="O217" i="124"/>
  <c r="AZ217" i="124" s="1"/>
  <c r="P85" i="124"/>
  <c r="O85" i="124"/>
  <c r="AZ85" i="124" s="1"/>
  <c r="O110" i="124"/>
  <c r="AZ110" i="124" s="1"/>
  <c r="P110" i="124"/>
  <c r="P76" i="124"/>
  <c r="O76" i="124"/>
  <c r="AZ76" i="124" s="1"/>
  <c r="P69" i="124"/>
  <c r="O69" i="124"/>
  <c r="AZ69" i="124" s="1"/>
  <c r="P34" i="124"/>
  <c r="O34" i="124"/>
  <c r="AZ34" i="124" s="1"/>
  <c r="O18" i="124"/>
  <c r="AZ18" i="124" s="1"/>
  <c r="P18" i="124"/>
  <c r="O33" i="124"/>
  <c r="AZ33" i="124" s="1"/>
  <c r="P33" i="124"/>
  <c r="O189" i="124"/>
  <c r="AZ189" i="124" s="1"/>
  <c r="P189" i="124"/>
  <c r="O158" i="124"/>
  <c r="AZ158" i="124" s="1"/>
  <c r="P158" i="124"/>
  <c r="O204" i="124"/>
  <c r="AZ204" i="124" s="1"/>
  <c r="P204" i="124"/>
  <c r="P161" i="124"/>
  <c r="O161" i="124"/>
  <c r="AZ161" i="124" s="1"/>
  <c r="O100" i="124"/>
  <c r="AZ100" i="124" s="1"/>
  <c r="P100" i="124"/>
  <c r="O228" i="124"/>
  <c r="AZ228" i="124" s="1"/>
  <c r="P228" i="124"/>
  <c r="P223" i="124"/>
  <c r="O223" i="124"/>
  <c r="AZ223" i="124" s="1"/>
  <c r="O109" i="124"/>
  <c r="AZ109" i="124" s="1"/>
  <c r="P109" i="124"/>
  <c r="P114" i="124"/>
  <c r="O114" i="124"/>
  <c r="AZ114" i="124" s="1"/>
  <c r="O103" i="124"/>
  <c r="AZ103" i="124" s="1"/>
  <c r="P103" i="124"/>
  <c r="P195" i="124"/>
  <c r="O195" i="124"/>
  <c r="AZ195" i="124" s="1"/>
  <c r="O159" i="124"/>
  <c r="AZ159" i="124" s="1"/>
  <c r="P159" i="124"/>
  <c r="P250" i="124"/>
  <c r="O250" i="124"/>
  <c r="AZ250" i="124" s="1"/>
  <c r="O82" i="124"/>
  <c r="AZ82" i="124" s="1"/>
  <c r="P82" i="124"/>
  <c r="P35" i="133"/>
  <c r="O35" i="133"/>
  <c r="AZ35" i="133" s="1"/>
  <c r="O70" i="133"/>
  <c r="AZ70" i="133" s="1"/>
  <c r="P70" i="133"/>
  <c r="P44" i="133"/>
  <c r="O44" i="133"/>
  <c r="AZ44" i="133" s="1"/>
  <c r="P57" i="133"/>
  <c r="O57" i="133"/>
  <c r="AZ57" i="133" s="1"/>
  <c r="P42" i="133"/>
  <c r="O42" i="133"/>
  <c r="AZ42" i="133" s="1"/>
  <c r="O23" i="133"/>
  <c r="AZ23" i="133" s="1"/>
  <c r="P23" i="133"/>
  <c r="P16" i="133"/>
  <c r="O16" i="133"/>
  <c r="AZ16" i="133" s="1"/>
  <c r="O192" i="124"/>
  <c r="AZ192" i="124" s="1"/>
  <c r="P192" i="124"/>
  <c r="P50" i="124"/>
  <c r="O50" i="124"/>
  <c r="AZ50" i="124" s="1"/>
  <c r="P218" i="124"/>
  <c r="O218" i="124"/>
  <c r="AZ218" i="124" s="1"/>
  <c r="P120" i="124"/>
  <c r="O120" i="124"/>
  <c r="AZ120" i="124" s="1"/>
  <c r="P11" i="124"/>
  <c r="O11" i="124"/>
  <c r="AZ11" i="124" s="1"/>
  <c r="P88" i="124"/>
  <c r="O88" i="124"/>
  <c r="AZ88" i="124" s="1"/>
  <c r="O112" i="124"/>
  <c r="AZ112" i="124" s="1"/>
  <c r="P112" i="124"/>
  <c r="P68" i="124"/>
  <c r="O68" i="124"/>
  <c r="AZ68" i="124" s="1"/>
  <c r="O26" i="124"/>
  <c r="AZ26" i="124" s="1"/>
  <c r="P26" i="124"/>
  <c r="O64" i="124"/>
  <c r="AZ64" i="124" s="1"/>
  <c r="P64" i="124"/>
  <c r="P122" i="124"/>
  <c r="O122" i="124"/>
  <c r="AZ122" i="124" s="1"/>
  <c r="O227" i="124"/>
  <c r="AZ227" i="124" s="1"/>
  <c r="P227" i="124"/>
  <c r="P51" i="133"/>
  <c r="O51" i="133"/>
  <c r="AZ51" i="133" s="1"/>
  <c r="O48" i="133"/>
  <c r="AZ48" i="133" s="1"/>
  <c r="P48" i="133"/>
  <c r="O71" i="133"/>
  <c r="AZ71" i="133" s="1"/>
  <c r="P71" i="133"/>
  <c r="P68" i="133"/>
  <c r="O68" i="133"/>
  <c r="AZ68" i="133" s="1"/>
  <c r="O55" i="133"/>
  <c r="AZ55" i="133" s="1"/>
  <c r="P55" i="133"/>
  <c r="P33" i="133"/>
  <c r="O33" i="133"/>
  <c r="AZ33" i="133" s="1"/>
  <c r="P28" i="133"/>
  <c r="O28" i="133"/>
  <c r="AZ28" i="133" s="1"/>
  <c r="P26" i="133"/>
  <c r="O26" i="133"/>
  <c r="AZ26" i="133" s="1"/>
  <c r="O70" i="124"/>
  <c r="AZ70" i="124" s="1"/>
  <c r="P70" i="124"/>
  <c r="P176" i="124"/>
  <c r="O176" i="124"/>
  <c r="AZ176" i="124" s="1"/>
  <c r="P197" i="124"/>
  <c r="O197" i="124"/>
  <c r="AZ197" i="124" s="1"/>
  <c r="O179" i="124"/>
  <c r="AZ179" i="124" s="1"/>
  <c r="P179" i="124"/>
  <c r="O63" i="124"/>
  <c r="AZ63" i="124" s="1"/>
  <c r="P63" i="124"/>
  <c r="O199" i="124"/>
  <c r="AZ199" i="124" s="1"/>
  <c r="P199" i="124"/>
  <c r="O128" i="124"/>
  <c r="AZ128" i="124" s="1"/>
  <c r="P128" i="124"/>
  <c r="O125" i="124"/>
  <c r="AZ125" i="124" s="1"/>
  <c r="P125" i="124"/>
  <c r="P160" i="124"/>
  <c r="O160" i="124"/>
  <c r="AZ160" i="124" s="1"/>
  <c r="P10" i="124"/>
  <c r="O10" i="124"/>
  <c r="AZ10" i="124" s="1"/>
  <c r="P60" i="124"/>
  <c r="O60" i="124"/>
  <c r="AZ60" i="124" s="1"/>
  <c r="O244" i="124"/>
  <c r="AZ244" i="124" s="1"/>
  <c r="P244" i="124"/>
  <c r="O89" i="124"/>
  <c r="AZ89" i="124" s="1"/>
  <c r="P89" i="124"/>
  <c r="O94" i="124"/>
  <c r="AZ94" i="124" s="1"/>
  <c r="P94" i="124"/>
  <c r="P107" i="124"/>
  <c r="O107" i="124"/>
  <c r="AZ107" i="124" s="1"/>
  <c r="P238" i="124"/>
  <c r="O238" i="124"/>
  <c r="AZ238" i="124" s="1"/>
  <c r="O117" i="124"/>
  <c r="AZ117" i="124" s="1"/>
  <c r="P117" i="124"/>
  <c r="P98" i="124"/>
  <c r="O98" i="124"/>
  <c r="AZ98" i="124" s="1"/>
  <c r="O187" i="124"/>
  <c r="AZ187" i="124" s="1"/>
  <c r="P187" i="124"/>
  <c r="P150" i="124"/>
  <c r="O150" i="124"/>
  <c r="AZ150" i="124" s="1"/>
  <c r="O78" i="124"/>
  <c r="AZ78" i="124" s="1"/>
  <c r="P78" i="124"/>
  <c r="P17" i="124"/>
  <c r="O17" i="124"/>
  <c r="AZ17" i="124" s="1"/>
  <c r="P101" i="124"/>
  <c r="O101" i="124"/>
  <c r="AZ101" i="124" s="1"/>
  <c r="O193" i="124"/>
  <c r="AZ193" i="124" s="1"/>
  <c r="P193" i="124"/>
  <c r="P93" i="124"/>
  <c r="O93" i="124"/>
  <c r="AZ93" i="124" s="1"/>
  <c r="P97" i="124"/>
  <c r="O97" i="124"/>
  <c r="AZ97" i="124" s="1"/>
  <c r="O9" i="124"/>
  <c r="AZ9" i="124" s="1"/>
  <c r="P9" i="124"/>
  <c r="P225" i="124"/>
  <c r="O225" i="124"/>
  <c r="AZ225" i="124" s="1"/>
  <c r="O37" i="124"/>
  <c r="AZ37" i="124" s="1"/>
  <c r="P37" i="124"/>
  <c r="O87" i="124"/>
  <c r="AZ87" i="124" s="1"/>
  <c r="P87" i="124"/>
  <c r="O104" i="124"/>
  <c r="AZ104" i="124" s="1"/>
  <c r="P104" i="124"/>
  <c r="O72" i="124"/>
  <c r="AZ72" i="124" s="1"/>
  <c r="P72" i="124"/>
  <c r="P45" i="133"/>
  <c r="O45" i="133"/>
  <c r="AZ45" i="133" s="1"/>
  <c r="O64" i="133"/>
  <c r="AZ64" i="133" s="1"/>
  <c r="P64" i="133"/>
  <c r="P39" i="133"/>
  <c r="O39" i="133"/>
  <c r="AZ39" i="133" s="1"/>
  <c r="O73" i="133"/>
  <c r="AZ73" i="133" s="1"/>
  <c r="P73" i="133"/>
  <c r="O69" i="133"/>
  <c r="AZ69" i="133" s="1"/>
  <c r="P69" i="133"/>
  <c r="O61" i="133"/>
  <c r="AZ61" i="133" s="1"/>
  <c r="P61" i="133"/>
  <c r="I8" i="102" s="1"/>
  <c r="P66" i="133"/>
  <c r="O66" i="133"/>
  <c r="AZ66" i="133" s="1"/>
  <c r="P34" i="133"/>
  <c r="O34" i="133"/>
  <c r="AZ34" i="133" s="1"/>
  <c r="P211" i="124"/>
  <c r="O211" i="124"/>
  <c r="AZ211" i="124" s="1"/>
  <c r="P165" i="124"/>
  <c r="O165" i="124"/>
  <c r="AZ165" i="124" s="1"/>
  <c r="O55" i="124"/>
  <c r="AZ55" i="124" s="1"/>
  <c r="P55" i="124"/>
  <c r="O144" i="124"/>
  <c r="AZ144" i="124" s="1"/>
  <c r="P144" i="124"/>
  <c r="O209" i="124"/>
  <c r="AZ209" i="124" s="1"/>
  <c r="P209" i="124"/>
  <c r="O56" i="124"/>
  <c r="AZ56" i="124" s="1"/>
  <c r="P56" i="124"/>
  <c r="O58" i="124"/>
  <c r="AZ58" i="124" s="1"/>
  <c r="P58" i="124"/>
  <c r="O99" i="124"/>
  <c r="AZ99" i="124" s="1"/>
  <c r="P99" i="124"/>
  <c r="O44" i="124"/>
  <c r="AZ44" i="124" s="1"/>
  <c r="P44" i="124"/>
  <c r="O142" i="124"/>
  <c r="AZ142" i="124" s="1"/>
  <c r="P142" i="124"/>
  <c r="O134" i="124"/>
  <c r="AZ134" i="124" s="1"/>
  <c r="P134" i="124"/>
  <c r="O155" i="124"/>
  <c r="AZ155" i="124" s="1"/>
  <c r="P155" i="124"/>
  <c r="P186" i="124"/>
  <c r="O186" i="124"/>
  <c r="AZ186" i="124" s="1"/>
  <c r="P21" i="124"/>
  <c r="O21" i="124"/>
  <c r="AZ21" i="124" s="1"/>
  <c r="O154" i="124"/>
  <c r="AZ154" i="124" s="1"/>
  <c r="P154" i="124"/>
  <c r="O92" i="124"/>
  <c r="AZ92" i="124" s="1"/>
  <c r="P92" i="124"/>
  <c r="O230" i="124"/>
  <c r="AZ230" i="124" s="1"/>
  <c r="P230" i="124"/>
  <c r="P73" i="124"/>
  <c r="O73" i="124"/>
  <c r="AZ73" i="124" s="1"/>
  <c r="P140" i="124"/>
  <c r="O140" i="124"/>
  <c r="AZ140" i="124" s="1"/>
  <c r="O168" i="124"/>
  <c r="AZ168" i="124" s="1"/>
  <c r="P168" i="124"/>
  <c r="O127" i="124"/>
  <c r="AZ127" i="124" s="1"/>
  <c r="P127" i="124"/>
  <c r="O194" i="124"/>
  <c r="AZ194" i="124" s="1"/>
  <c r="P194" i="124"/>
  <c r="P121" i="124"/>
  <c r="O121" i="124"/>
  <c r="AZ121" i="124" s="1"/>
  <c r="O215" i="124"/>
  <c r="AZ215" i="124" s="1"/>
  <c r="P215" i="124"/>
  <c r="P19" i="124"/>
  <c r="O19" i="124"/>
  <c r="AZ19" i="124" s="1"/>
  <c r="O149" i="124"/>
  <c r="AZ149" i="124" s="1"/>
  <c r="P149" i="124"/>
  <c r="O216" i="124"/>
  <c r="AZ216" i="124" s="1"/>
  <c r="P216" i="124"/>
  <c r="P65" i="124"/>
  <c r="O65" i="124"/>
  <c r="AZ65" i="124" s="1"/>
  <c r="P231" i="124"/>
  <c r="O231" i="124"/>
  <c r="AZ231" i="124" s="1"/>
  <c r="P45" i="124"/>
  <c r="O45" i="124"/>
  <c r="AZ45" i="124" s="1"/>
  <c r="O239" i="124"/>
  <c r="AZ239" i="124" s="1"/>
  <c r="P239" i="124"/>
  <c r="O74" i="133"/>
  <c r="AZ74" i="133" s="1"/>
  <c r="P74" i="133"/>
  <c r="O59" i="133"/>
  <c r="AZ59" i="133" s="1"/>
  <c r="P59" i="133"/>
  <c r="O25" i="133"/>
  <c r="AZ25" i="133" s="1"/>
  <c r="P25" i="133"/>
  <c r="P47" i="133"/>
  <c r="O47" i="133"/>
  <c r="AZ47" i="133" s="1"/>
  <c r="P21" i="133"/>
  <c r="O21" i="133"/>
  <c r="AZ21" i="133" s="1"/>
  <c r="O50" i="133"/>
  <c r="AZ50" i="133" s="1"/>
  <c r="P50" i="133"/>
  <c r="P72" i="133"/>
  <c r="O72" i="133"/>
  <c r="AZ72" i="133" s="1"/>
  <c r="P60" i="133"/>
  <c r="O60" i="133"/>
  <c r="AZ60" i="133" s="1"/>
  <c r="P81" i="124"/>
  <c r="O81" i="124"/>
  <c r="AZ81" i="124" s="1"/>
  <c r="P191" i="124"/>
  <c r="O191" i="124"/>
  <c r="AZ191" i="124" s="1"/>
  <c r="P126" i="124"/>
  <c r="O126" i="124"/>
  <c r="AZ126" i="124" s="1"/>
  <c r="O77" i="124"/>
  <c r="AZ77" i="124" s="1"/>
  <c r="P77" i="124"/>
  <c r="O210" i="124"/>
  <c r="AZ210" i="124" s="1"/>
  <c r="P210" i="124"/>
  <c r="O74" i="124"/>
  <c r="AZ74" i="124" s="1"/>
  <c r="P74" i="124"/>
  <c r="O173" i="124"/>
  <c r="AZ173" i="124" s="1"/>
  <c r="P173" i="124"/>
  <c r="P172" i="124"/>
  <c r="O172" i="124"/>
  <c r="AZ172" i="124" s="1"/>
  <c r="P148" i="124"/>
  <c r="O148" i="124"/>
  <c r="AZ148" i="124" s="1"/>
  <c r="P185" i="124"/>
  <c r="O185" i="124"/>
  <c r="AZ185" i="124" s="1"/>
  <c r="P16" i="124"/>
  <c r="O16" i="124"/>
  <c r="AZ16" i="124" s="1"/>
  <c r="P183" i="124"/>
  <c r="O183" i="124"/>
  <c r="AZ183" i="124" s="1"/>
  <c r="P53" i="124"/>
  <c r="O53" i="124"/>
  <c r="AZ53" i="124" s="1"/>
  <c r="P251" i="124"/>
  <c r="O251" i="124"/>
  <c r="AZ251" i="124" s="1"/>
  <c r="O96" i="124"/>
  <c r="AZ96" i="124" s="1"/>
  <c r="P96" i="124"/>
  <c r="P135" i="124"/>
  <c r="O135" i="124"/>
  <c r="AZ135" i="124" s="1"/>
  <c r="P46" i="124"/>
  <c r="O46" i="124"/>
  <c r="AZ46" i="124" s="1"/>
  <c r="O28" i="124"/>
  <c r="AZ28" i="124" s="1"/>
  <c r="P28" i="124"/>
  <c r="O226" i="124"/>
  <c r="AZ226" i="124" s="1"/>
  <c r="P226" i="124"/>
  <c r="P222" i="124"/>
  <c r="O222" i="124"/>
  <c r="AZ222" i="124" s="1"/>
  <c r="P245" i="124"/>
  <c r="O245" i="124"/>
  <c r="AZ245" i="124" s="1"/>
  <c r="O27" i="124"/>
  <c r="AZ27" i="124" s="1"/>
  <c r="P27" i="124"/>
  <c r="P25" i="124"/>
  <c r="O25" i="124"/>
  <c r="AZ25" i="124" s="1"/>
  <c r="P95" i="124"/>
  <c r="O95" i="124"/>
  <c r="AZ95" i="124" s="1"/>
  <c r="P182" i="124"/>
  <c r="O182" i="124"/>
  <c r="AZ182" i="124" s="1"/>
  <c r="P229" i="124"/>
  <c r="O229" i="124"/>
  <c r="AZ229" i="124" s="1"/>
  <c r="P31" i="124"/>
  <c r="O31" i="124"/>
  <c r="AZ31" i="124" s="1"/>
  <c r="O67" i="124"/>
  <c r="AZ67" i="124" s="1"/>
  <c r="P67" i="124"/>
  <c r="P214" i="124"/>
  <c r="O214" i="124"/>
  <c r="AZ214" i="124" s="1"/>
  <c r="P54" i="124"/>
  <c r="O54" i="124"/>
  <c r="AZ54" i="124" s="1"/>
  <c r="P188" i="124"/>
  <c r="O188" i="124"/>
  <c r="AZ188" i="124" s="1"/>
  <c r="O62" i="133"/>
  <c r="AZ62" i="133" s="1"/>
  <c r="P62" i="133"/>
  <c r="P17" i="133"/>
  <c r="O17" i="133"/>
  <c r="AZ17" i="133" s="1"/>
  <c r="O49" i="133"/>
  <c r="AZ49" i="133" s="1"/>
  <c r="P49" i="133"/>
  <c r="P19" i="133"/>
  <c r="O19" i="133"/>
  <c r="AZ19" i="133" s="1"/>
  <c r="O31" i="133"/>
  <c r="AZ31" i="133" s="1"/>
  <c r="P31" i="133"/>
  <c r="I11" i="102" s="1"/>
  <c r="P43" i="133"/>
  <c r="O43" i="133"/>
  <c r="AZ43" i="133" s="1"/>
  <c r="P65" i="133"/>
  <c r="O65" i="133"/>
  <c r="AZ65" i="133" s="1"/>
  <c r="P20" i="133"/>
  <c r="O20" i="133"/>
  <c r="AZ20" i="133" s="1"/>
  <c r="P8" i="133"/>
  <c r="O8" i="133"/>
  <c r="AZ8" i="133" s="1"/>
  <c r="P164" i="124"/>
  <c r="O164" i="124"/>
  <c r="AZ164" i="124" s="1"/>
  <c r="O40" i="124"/>
  <c r="AZ40" i="124" s="1"/>
  <c r="P40" i="124"/>
  <c r="O66" i="124"/>
  <c r="AZ66" i="124" s="1"/>
  <c r="P66" i="124"/>
  <c r="O62" i="124"/>
  <c r="AZ62" i="124" s="1"/>
  <c r="P62" i="124"/>
  <c r="O170" i="124"/>
  <c r="AZ170" i="124" s="1"/>
  <c r="P170" i="124"/>
  <c r="P237" i="124"/>
  <c r="O237" i="124"/>
  <c r="AZ237" i="124" s="1"/>
  <c r="O166" i="124"/>
  <c r="AZ166" i="124" s="1"/>
  <c r="P166" i="124"/>
  <c r="O246" i="124"/>
  <c r="AZ246" i="124" s="1"/>
  <c r="P246" i="124"/>
  <c r="P91" i="124"/>
  <c r="O91" i="124"/>
  <c r="AZ91" i="124" s="1"/>
  <c r="P249" i="124"/>
  <c r="O249" i="124"/>
  <c r="AZ249" i="124" s="1"/>
  <c r="O41" i="124"/>
  <c r="AZ41" i="124" s="1"/>
  <c r="P41" i="124"/>
  <c r="P30" i="124"/>
  <c r="O30" i="124"/>
  <c r="AZ30" i="124" s="1"/>
  <c r="P157" i="124"/>
  <c r="O157" i="124"/>
  <c r="AZ157" i="124" s="1"/>
  <c r="O184" i="124"/>
  <c r="AZ184" i="124" s="1"/>
  <c r="P184" i="124"/>
  <c r="O175" i="124"/>
  <c r="AZ175" i="124" s="1"/>
  <c r="P175" i="124"/>
  <c r="P198" i="124"/>
  <c r="O198" i="124"/>
  <c r="AZ198" i="124" s="1"/>
  <c r="P236" i="124"/>
  <c r="O236" i="124"/>
  <c r="AZ236" i="124" s="1"/>
  <c r="O139" i="124"/>
  <c r="AZ139" i="124" s="1"/>
  <c r="P139" i="124"/>
  <c r="O36" i="124"/>
  <c r="AZ36" i="124" s="1"/>
  <c r="P36" i="124"/>
  <c r="P201" i="124"/>
  <c r="O201" i="124"/>
  <c r="AZ201" i="124" s="1"/>
  <c r="P43" i="124"/>
  <c r="O43" i="124"/>
  <c r="AZ43" i="124" s="1"/>
  <c r="P14" i="124"/>
  <c r="O14" i="124"/>
  <c r="AZ14" i="124" s="1"/>
  <c r="O196" i="124"/>
  <c r="AZ196" i="124" s="1"/>
  <c r="P196" i="124"/>
  <c r="P224" i="124"/>
  <c r="O224" i="124"/>
  <c r="AZ224" i="124" s="1"/>
  <c r="P106" i="124"/>
  <c r="O106" i="124"/>
  <c r="AZ106" i="124" s="1"/>
  <c r="P49" i="124"/>
  <c r="O49" i="124"/>
  <c r="AZ49" i="124" s="1"/>
  <c r="P61" i="124"/>
  <c r="O61" i="124"/>
  <c r="AZ61" i="124" s="1"/>
  <c r="O235" i="124"/>
  <c r="AZ235" i="124" s="1"/>
  <c r="P235" i="124"/>
  <c r="P147" i="124"/>
  <c r="O147" i="124"/>
  <c r="AZ147" i="124" s="1"/>
  <c r="O13" i="124"/>
  <c r="AZ13" i="124" s="1"/>
  <c r="P13" i="124"/>
  <c r="P138" i="124"/>
  <c r="O138" i="124"/>
  <c r="AZ138" i="124" s="1"/>
  <c r="L142" i="172"/>
  <c r="M142" i="172" s="1"/>
  <c r="L38" i="172"/>
  <c r="M38" i="172" s="1"/>
  <c r="L200" i="172"/>
  <c r="L110" i="172"/>
  <c r="L229" i="172"/>
  <c r="L49" i="172"/>
  <c r="M49" i="172" s="1"/>
  <c r="L11" i="172"/>
  <c r="M11" i="172" s="1"/>
  <c r="L191" i="172"/>
  <c r="M191" i="172" s="1"/>
  <c r="L228" i="172"/>
  <c r="M228" i="172" s="1"/>
  <c r="L22" i="172"/>
  <c r="M22" i="172" s="1"/>
  <c r="L230" i="172"/>
  <c r="M230" i="172" s="1"/>
  <c r="L197" i="172"/>
  <c r="M197" i="172" s="1"/>
  <c r="L93" i="172"/>
  <c r="M93" i="172" s="1"/>
  <c r="L201" i="172"/>
  <c r="L96" i="172"/>
  <c r="L227" i="172"/>
  <c r="L245" i="172"/>
  <c r="L47" i="172"/>
  <c r="M47" i="172" s="1"/>
  <c r="L64" i="172"/>
  <c r="L48" i="172"/>
  <c r="M48" i="172" s="1"/>
  <c r="L198" i="172"/>
  <c r="L194" i="172"/>
  <c r="L224" i="172"/>
  <c r="L231" i="172"/>
  <c r="L232" i="172"/>
  <c r="M232" i="172" s="1"/>
  <c r="L92" i="172"/>
  <c r="M92" i="172" s="1"/>
  <c r="L251" i="172"/>
  <c r="M251" i="172" s="1"/>
  <c r="L247" i="172"/>
  <c r="M247" i="172" s="1"/>
  <c r="L57" i="172"/>
  <c r="M57" i="172" s="1"/>
  <c r="AM6" i="133"/>
  <c r="AL7" i="133"/>
  <c r="AJ6" i="124"/>
  <c r="AI7" i="124"/>
  <c r="N243" i="172"/>
  <c r="Q243" i="172" s="1"/>
  <c r="I24" i="157" s="1"/>
  <c r="N215" i="172"/>
  <c r="Q215" i="172" s="1"/>
  <c r="I30" i="101" l="1"/>
  <c r="I21" i="102"/>
  <c r="I7" i="102"/>
  <c r="I17" i="102"/>
  <c r="I22" i="101"/>
  <c r="I23" i="102"/>
  <c r="I37" i="101"/>
  <c r="I31" i="101"/>
  <c r="I19" i="101"/>
  <c r="I9" i="101"/>
  <c r="I19" i="102"/>
  <c r="I20" i="102"/>
  <c r="I16" i="101"/>
  <c r="I9" i="102"/>
  <c r="I21" i="101"/>
  <c r="I13" i="101"/>
  <c r="I10" i="102"/>
  <c r="I24" i="102"/>
  <c r="I28" i="101"/>
  <c r="I36" i="101"/>
  <c r="I11" i="101"/>
  <c r="I15" i="101"/>
  <c r="I34" i="101"/>
  <c r="I17" i="101"/>
  <c r="I10" i="101"/>
  <c r="I32" i="101"/>
  <c r="I20" i="101"/>
  <c r="I27" i="101"/>
  <c r="I8" i="101"/>
  <c r="I6" i="101"/>
  <c r="I23" i="101"/>
  <c r="I18" i="101"/>
  <c r="I14" i="101"/>
  <c r="I26" i="101"/>
  <c r="I25" i="101"/>
  <c r="I33" i="101"/>
  <c r="I38" i="101"/>
  <c r="I12" i="101"/>
  <c r="I29" i="101"/>
  <c r="I7" i="101"/>
  <c r="I24" i="101"/>
  <c r="I35" i="101"/>
  <c r="I18" i="102"/>
  <c r="I13" i="102"/>
  <c r="I22" i="102"/>
  <c r="I15" i="102"/>
  <c r="I14" i="102"/>
  <c r="I25" i="102"/>
  <c r="I16" i="102"/>
  <c r="I26" i="102"/>
  <c r="I27" i="102"/>
  <c r="M131" i="172"/>
  <c r="N131" i="172"/>
  <c r="Q131" i="172" s="1"/>
  <c r="P131" i="172"/>
  <c r="M133" i="172"/>
  <c r="N133" i="172"/>
  <c r="Q133" i="172" s="1"/>
  <c r="P133" i="172"/>
  <c r="M244" i="172"/>
  <c r="N244" i="172"/>
  <c r="Q244" i="172" s="1"/>
  <c r="P244" i="172"/>
  <c r="M199" i="172"/>
  <c r="N199" i="172"/>
  <c r="Q199" i="172" s="1"/>
  <c r="P199" i="172"/>
  <c r="M138" i="172"/>
  <c r="N138" i="172"/>
  <c r="Q138" i="172" s="1"/>
  <c r="P138" i="172"/>
  <c r="M236" i="172"/>
  <c r="N236" i="172"/>
  <c r="Q236" i="172" s="1"/>
  <c r="P236" i="172"/>
  <c r="M132" i="172"/>
  <c r="N132" i="172"/>
  <c r="Q132" i="172" s="1"/>
  <c r="P132" i="172"/>
  <c r="M135" i="172"/>
  <c r="N135" i="172"/>
  <c r="Q135" i="172" s="1"/>
  <c r="P135" i="172"/>
  <c r="M136" i="172"/>
  <c r="N136" i="172"/>
  <c r="Q136" i="172" s="1"/>
  <c r="P136" i="172"/>
  <c r="M174" i="172"/>
  <c r="N174" i="172"/>
  <c r="Q174" i="172" s="1"/>
  <c r="P174" i="172"/>
  <c r="M137" i="172"/>
  <c r="N137" i="172"/>
  <c r="Q137" i="172" s="1"/>
  <c r="P137" i="172"/>
  <c r="M134" i="172"/>
  <c r="N134" i="172"/>
  <c r="Q134" i="172" s="1"/>
  <c r="P134" i="172"/>
  <c r="AZ77" i="133"/>
  <c r="P5" i="133"/>
  <c r="P6" i="133"/>
  <c r="J10" i="2" s="1"/>
  <c r="P5" i="124"/>
  <c r="P6" i="124"/>
  <c r="J9" i="2" s="1"/>
  <c r="AZ252" i="124"/>
  <c r="P64" i="172"/>
  <c r="M64" i="172"/>
  <c r="N227" i="172"/>
  <c r="Q227" i="172" s="1"/>
  <c r="M227" i="172"/>
  <c r="P200" i="172"/>
  <c r="M200" i="172"/>
  <c r="P224" i="172"/>
  <c r="M224" i="172"/>
  <c r="P231" i="172"/>
  <c r="M231" i="172"/>
  <c r="P194" i="172"/>
  <c r="M194" i="172"/>
  <c r="N198" i="172"/>
  <c r="Q198" i="172" s="1"/>
  <c r="M198" i="172"/>
  <c r="P96" i="172"/>
  <c r="M96" i="172"/>
  <c r="P201" i="172"/>
  <c r="M201" i="172"/>
  <c r="P229" i="172"/>
  <c r="M229" i="172"/>
  <c r="N245" i="172"/>
  <c r="Q245" i="172" s="1"/>
  <c r="M245" i="172"/>
  <c r="N110" i="172"/>
  <c r="Q110" i="172" s="1"/>
  <c r="M110" i="172"/>
  <c r="N38" i="172"/>
  <c r="Q38" i="172" s="1"/>
  <c r="P38" i="172"/>
  <c r="N142" i="172"/>
  <c r="Q142" i="172" s="1"/>
  <c r="P142" i="172"/>
  <c r="N49" i="172"/>
  <c r="Q49" i="172" s="1"/>
  <c r="P49" i="172"/>
  <c r="N191" i="172"/>
  <c r="Q191" i="172" s="1"/>
  <c r="I20" i="156" s="1"/>
  <c r="P191" i="172"/>
  <c r="N229" i="172"/>
  <c r="Q229" i="172" s="1"/>
  <c r="AM7" i="133"/>
  <c r="AN6" i="133"/>
  <c r="AJ7" i="124"/>
  <c r="AK6" i="124"/>
  <c r="N200" i="172"/>
  <c r="Q200" i="172" s="1"/>
  <c r="P227" i="172"/>
  <c r="N201" i="172"/>
  <c r="Q201" i="172" s="1"/>
  <c r="P243" i="172"/>
  <c r="P215" i="172"/>
  <c r="P110" i="172"/>
  <c r="N231" i="172"/>
  <c r="Q231" i="172" s="1"/>
  <c r="P198" i="172"/>
  <c r="N194" i="172"/>
  <c r="Q194" i="172" s="1"/>
  <c r="N64" i="172"/>
  <c r="Q64" i="172" s="1"/>
  <c r="N96" i="172"/>
  <c r="Q96" i="172" s="1"/>
  <c r="P245" i="172"/>
  <c r="N224" i="172"/>
  <c r="Q224" i="172" s="1"/>
  <c r="N92" i="172"/>
  <c r="Q92" i="172" s="1"/>
  <c r="P92" i="172"/>
  <c r="N217" i="172"/>
  <c r="Q217" i="172" s="1"/>
  <c r="P217" i="172"/>
  <c r="P93" i="172"/>
  <c r="N93" i="172"/>
  <c r="Q93" i="172" s="1"/>
  <c r="N208" i="172"/>
  <c r="Q208" i="172" s="1"/>
  <c r="P208" i="172"/>
  <c r="N214" i="172"/>
  <c r="Q214" i="172" s="1"/>
  <c r="P214" i="172"/>
  <c r="P48" i="172"/>
  <c r="N48" i="172"/>
  <c r="Q48" i="172" s="1"/>
  <c r="N241" i="172"/>
  <c r="Q241" i="172" s="1"/>
  <c r="I8" i="157" s="1"/>
  <c r="I25" i="157" s="1"/>
  <c r="P241" i="172"/>
  <c r="P47" i="172"/>
  <c r="N47" i="172"/>
  <c r="Q47" i="172" s="1"/>
  <c r="P94" i="172"/>
  <c r="N94" i="172"/>
  <c r="Q94" i="172" s="1"/>
  <c r="I25" i="156" s="1"/>
  <c r="P247" i="172"/>
  <c r="N247" i="172"/>
  <c r="Q247" i="172" s="1"/>
  <c r="P251" i="172"/>
  <c r="N251" i="172"/>
  <c r="Q251" i="172" s="1"/>
  <c r="N230" i="172"/>
  <c r="Q230" i="172" s="1"/>
  <c r="P230" i="172"/>
  <c r="P57" i="172"/>
  <c r="N57" i="172"/>
  <c r="Q57" i="172" s="1"/>
  <c r="N197" i="172"/>
  <c r="Q197" i="172" s="1"/>
  <c r="P197" i="172"/>
  <c r="N22" i="172"/>
  <c r="Q22" i="172" s="1"/>
  <c r="P22" i="172"/>
  <c r="N232" i="172"/>
  <c r="Q232" i="172" s="1"/>
  <c r="P232" i="172"/>
  <c r="N11" i="172"/>
  <c r="P11" i="172"/>
  <c r="N228" i="172"/>
  <c r="Q228" i="172" s="1"/>
  <c r="P228" i="172"/>
  <c r="I9" i="156" l="1"/>
  <c r="I7" i="156"/>
  <c r="I39" i="101"/>
  <c r="I28" i="102"/>
  <c r="M5" i="172"/>
  <c r="J12" i="2"/>
  <c r="M6" i="172"/>
  <c r="P5" i="172"/>
  <c r="P6" i="172"/>
  <c r="AN7" i="133"/>
  <c r="AO6" i="133"/>
  <c r="AL6" i="124"/>
  <c r="AK7" i="124"/>
  <c r="Q11" i="172"/>
  <c r="I26" i="156" s="1"/>
  <c r="N5" i="172"/>
  <c r="L5" i="172" s="1"/>
  <c r="N6" i="172"/>
  <c r="E63" i="2" s="1"/>
  <c r="I27" i="156" l="1"/>
  <c r="AP6" i="133"/>
  <c r="AO7" i="133"/>
  <c r="AM6" i="124"/>
  <c r="AL7" i="124"/>
  <c r="L6" i="172"/>
  <c r="G63" i="2"/>
  <c r="Q5" i="172"/>
  <c r="Q6" i="172"/>
  <c r="AQ6" i="133" l="1"/>
  <c r="AP7" i="133"/>
  <c r="AN6" i="124"/>
  <c r="AM7" i="124"/>
  <c r="J24" i="2"/>
  <c r="AR6" i="133" l="1"/>
  <c r="AQ7" i="133"/>
  <c r="AO6" i="124"/>
  <c r="AN7" i="124"/>
  <c r="J27" i="2"/>
  <c r="J45" i="2" s="1"/>
  <c r="AR7" i="133" l="1"/>
  <c r="AS6" i="133"/>
  <c r="AP6" i="124"/>
  <c r="AO7" i="124"/>
  <c r="J47" i="2"/>
  <c r="J49" i="2" s="1"/>
  <c r="AT6" i="133" l="1"/>
  <c r="AS7" i="133"/>
  <c r="AQ6" i="124"/>
  <c r="AP7" i="124"/>
  <c r="AT7" i="133" l="1"/>
  <c r="AU6" i="133"/>
  <c r="AR6" i="124"/>
  <c r="AQ7" i="124"/>
  <c r="AU7" i="133" l="1"/>
  <c r="AV6" i="133"/>
  <c r="AR7" i="124"/>
  <c r="AS6" i="124"/>
  <c r="AW6" i="133" l="1"/>
  <c r="AW7" i="133" s="1"/>
  <c r="AV7" i="133"/>
  <c r="AS7" i="124"/>
  <c r="AT6" i="124"/>
  <c r="AT7" i="124" l="1"/>
  <c r="AU6" i="124"/>
  <c r="AV6" i="124" l="1"/>
  <c r="AU7" i="124"/>
  <c r="AW6" i="124" l="1"/>
  <c r="AW7" i="124" s="1"/>
  <c r="AV7" i="124"/>
</calcChain>
</file>

<file path=xl/sharedStrings.xml><?xml version="1.0" encoding="utf-8"?>
<sst xmlns="http://schemas.openxmlformats.org/spreadsheetml/2006/main" count="5225" uniqueCount="1009">
  <si>
    <t xml:space="preserve"> </t>
  </si>
  <si>
    <t>Datum:</t>
  </si>
  <si>
    <t>Kunde:</t>
  </si>
  <si>
    <t>Bieter:</t>
  </si>
  <si>
    <t>Leistung:</t>
  </si>
  <si>
    <t>Kunde</t>
  </si>
  <si>
    <t>Objekte:</t>
  </si>
  <si>
    <t>€/Jahr netto</t>
  </si>
  <si>
    <t>GESAMTSUMME p.a. (netto)</t>
  </si>
  <si>
    <t>Stundenverrechnungssätze (Kalkulationsbasis)</t>
  </si>
  <si>
    <t>€/Std. netto</t>
  </si>
  <si>
    <t>Std./Jahr gesamt</t>
  </si>
  <si>
    <t>Anzahl d. Mitarbeiter</t>
  </si>
  <si>
    <t>Raumelement</t>
  </si>
  <si>
    <t>Bestandteile &amp; Tätigkeit</t>
  </si>
  <si>
    <t>Ergänzungsinformation</t>
  </si>
  <si>
    <t>Z</t>
  </si>
  <si>
    <t>BODENARBEITEN</t>
  </si>
  <si>
    <t>Alle Bodenbeläge</t>
  </si>
  <si>
    <t>Beseitigung von losem Abfall und groben Verschmutzungen</t>
  </si>
  <si>
    <t>x</t>
  </si>
  <si>
    <t>saugen, bei Bedarf Fleckdetachour</t>
  </si>
  <si>
    <t>saugen und reinigen</t>
  </si>
  <si>
    <t>inkl. Einlegekammern</t>
  </si>
  <si>
    <t>HAUPTNUTZUNGSKOMPONENTEN</t>
  </si>
  <si>
    <t>Alle Hauptnutzungskomponenten</t>
  </si>
  <si>
    <t>Beseitigung von Abfall, Griffspuren und groben Verschmutzungen</t>
  </si>
  <si>
    <t>Abfall</t>
  </si>
  <si>
    <t>entleeren, Inhalt in Behältnisse an den entsprechenden Sammelstellen entsorgen, mit entsprechenden Beuteln bestücken</t>
  </si>
  <si>
    <t>Abfallbehälter</t>
  </si>
  <si>
    <t>W1</t>
  </si>
  <si>
    <t>M1</t>
  </si>
  <si>
    <t>Lichtschalter, Wandschalter</t>
  </si>
  <si>
    <t>Türen, Schranktüren, Glastüren und so. Innenglasflächen</t>
  </si>
  <si>
    <t>Spiegel</t>
  </si>
  <si>
    <t>Fliesen, Trennwände</t>
  </si>
  <si>
    <t>Spritzbereich</t>
  </si>
  <si>
    <t>Toiletten inkl. Toilettenbrille, Urinale</t>
  </si>
  <si>
    <t>NEBENNUTZUNGSKOMPONENTEN</t>
  </si>
  <si>
    <t>vollflächig inkl. Türrahmen</t>
  </si>
  <si>
    <t>vollflächig</t>
  </si>
  <si>
    <t>Handläufe und Geländer</t>
  </si>
  <si>
    <t>Sonstige Einrichtungsgegenstände</t>
  </si>
  <si>
    <t xml:space="preserve">fachgerecht reinigen  </t>
  </si>
  <si>
    <t>WAND- und DECKENARBEITEN</t>
  </si>
  <si>
    <t>Regale, Schrankfächer</t>
  </si>
  <si>
    <t>freie Flächen</t>
  </si>
  <si>
    <t>Fensterbänke</t>
  </si>
  <si>
    <t>komplette Flächen innen</t>
  </si>
  <si>
    <t>Kabelkanäle</t>
  </si>
  <si>
    <t>Heizkörper, -verkleidungen</t>
  </si>
  <si>
    <t>J2</t>
  </si>
  <si>
    <t>J4</t>
  </si>
  <si>
    <t>Feuerlöscher</t>
  </si>
  <si>
    <t>J1</t>
  </si>
  <si>
    <t>Spinnweben</t>
  </si>
  <si>
    <t>entfernen</t>
  </si>
  <si>
    <t>Raumgruppe</t>
  </si>
  <si>
    <t>Bezeichnung</t>
  </si>
  <si>
    <t>Turnus</t>
  </si>
  <si>
    <t>Leistungswert in m²/h</t>
  </si>
  <si>
    <t>W5</t>
  </si>
  <si>
    <t>W3</t>
  </si>
  <si>
    <t>W2,5</t>
  </si>
  <si>
    <t>W2</t>
  </si>
  <si>
    <t>W4</t>
  </si>
  <si>
    <t>W7</t>
  </si>
  <si>
    <t>W6</t>
  </si>
  <si>
    <t>kR</t>
  </si>
  <si>
    <t>Zwischensumme lohngebundene Kosten</t>
  </si>
  <si>
    <t>5. Selbstkosten (Summe 1 bis 4)</t>
  </si>
  <si>
    <t>Kalkulationszuschlag (Unternehmerzuschlag auf Fertigungslohn)</t>
  </si>
  <si>
    <t>Stundenverrechnungssatz</t>
  </si>
  <si>
    <t>Anteil Sozialversicherungspflichtig Beschäftigte:</t>
  </si>
  <si>
    <t>Unterhaltsreinigung</t>
  </si>
  <si>
    <t>Jahres- faktor</t>
  </si>
  <si>
    <t>m² p.a.</t>
  </si>
  <si>
    <t>m²/Std.</t>
  </si>
  <si>
    <t>Std. p.a.</t>
  </si>
  <si>
    <t>SVS</t>
  </si>
  <si>
    <t>EUR/ Reinigung</t>
  </si>
  <si>
    <t>EUR p.a.</t>
  </si>
  <si>
    <t>Jahresfaktor</t>
  </si>
  <si>
    <t>Kalendertage</t>
  </si>
  <si>
    <t>abzüglich Sonntage</t>
  </si>
  <si>
    <t>Feiertage immer an Werktagen</t>
  </si>
  <si>
    <t>=</t>
  </si>
  <si>
    <t>Feiertage auch an Sa/So</t>
  </si>
  <si>
    <t>Summe Feiertage</t>
  </si>
  <si>
    <t>arbeitsfreie Werktage</t>
  </si>
  <si>
    <t>Verrechenbare Tage</t>
  </si>
  <si>
    <t>Häufigkeit</t>
  </si>
  <si>
    <t>J3</t>
  </si>
  <si>
    <t>W14</t>
  </si>
  <si>
    <t>Reinigungshäufigkeit wöchentlich</t>
  </si>
  <si>
    <t xml:space="preserve">Die den einzelnen Häufigkeitsangaben (siehe Spalte "Turnus") entsprechenden Jahreshäufigkeiten entnehmen Sie bitte der Tabelle "Turnus". </t>
  </si>
  <si>
    <t>Basisdaten</t>
  </si>
  <si>
    <t>1. Unterhaltsreinigung</t>
  </si>
  <si>
    <t>19 % USt.</t>
  </si>
  <si>
    <t xml:space="preserve">GESAMTSUMME p.a. inkl. USt. (brutto) </t>
  </si>
  <si>
    <t>Bodenfläche, m²</t>
  </si>
  <si>
    <t>Raumnr.</t>
  </si>
  <si>
    <t>Flur</t>
  </si>
  <si>
    <t>Raumbezeichnung</t>
  </si>
  <si>
    <t>Foyer</t>
  </si>
  <si>
    <t>Küche</t>
  </si>
  <si>
    <t>(SVS: Stundenverrechnungssatz)</t>
  </si>
  <si>
    <t>€/m²</t>
  </si>
  <si>
    <t>ohne Rahmen</t>
  </si>
  <si>
    <t>mit Rahmen</t>
  </si>
  <si>
    <t>€ p.a.</t>
  </si>
  <si>
    <t>EG</t>
  </si>
  <si>
    <t>1.00 Produktivlöhne</t>
  </si>
  <si>
    <t>2.00 Lohngebundene Kosten</t>
  </si>
  <si>
    <t>2.10 Sozialversicherungsbeiträge (Arbeitgeberanteil)</t>
  </si>
  <si>
    <t>2.11 Krankenversicherung auf Produktivlohn</t>
  </si>
  <si>
    <t>2.12 Rentenversicherung auf Produktivlohn</t>
  </si>
  <si>
    <t>2.13 Arbeitslosenversicherung auf Produktivlohn</t>
  </si>
  <si>
    <t>2.14 Pflegeversicherung auf Produktivlohn</t>
  </si>
  <si>
    <t>2.15 U2 Mutterschaftsaufwendungen</t>
  </si>
  <si>
    <t>2.16 U3 Insolvenzgeldumlage</t>
  </si>
  <si>
    <t>2.17 Gesetzliche Unfallversicherung</t>
  </si>
  <si>
    <t>Zwischensumme der Positionen unter 2.10</t>
  </si>
  <si>
    <t>2.20 Soziallöhne</t>
  </si>
  <si>
    <t>2.21 Gesetzliche Feiertage</t>
  </si>
  <si>
    <t xml:space="preserve">        Sozialversicherung auf Pos. 2.21</t>
  </si>
  <si>
    <t>2.22 Urlaubsentgelt</t>
  </si>
  <si>
    <t xml:space="preserve">        Sozialversicherung auf Pos. 2.22</t>
  </si>
  <si>
    <t>2.23 Arbeitsfreistellung</t>
  </si>
  <si>
    <t xml:space="preserve">        Sozialversicherung auf Pos. 2.23</t>
  </si>
  <si>
    <t>2.24 Lohnfortzahlung im Krankheitsfall</t>
  </si>
  <si>
    <t xml:space="preserve">        Sozialversicherung auf Pos. 2.24</t>
  </si>
  <si>
    <t>2.25 Zusätzliches Urlaubsgeld</t>
  </si>
  <si>
    <t xml:space="preserve">        Sozialversicherung auf Pos. 2.25</t>
  </si>
  <si>
    <t>Zwischensumme Soziallöhne inkl. SV-Beiträge auf Soziallöhne</t>
  </si>
  <si>
    <t>Summe Sozialversicherungsbeiträge + Soziallöhne</t>
  </si>
  <si>
    <t xml:space="preserve">2.30 Zusätzliche lohngebundene Kosten </t>
  </si>
  <si>
    <t>2.31 Haftpflichtversicherung</t>
  </si>
  <si>
    <t>2.32 Sonstige Personalkosten</t>
  </si>
  <si>
    <t>3.00 Sonstige auftragsbezogene Kosten</t>
  </si>
  <si>
    <t>3.10b Gehälter Objektleiter</t>
  </si>
  <si>
    <t>3.20 Fahrtkostenzuschuss</t>
  </si>
  <si>
    <t>3.30 Fertigungsmaterial, Maschinen und Geräte, Afa, etc.</t>
  </si>
  <si>
    <t>Zwischensumme sonstige auftragsbezogene Kosten</t>
  </si>
  <si>
    <t>4.0 Unternehmensbezogene Kosten</t>
  </si>
  <si>
    <t>4.10 Gehälter</t>
  </si>
  <si>
    <t>4.11 Gehälter technische Angestellte, inkl. Lohnfolgekosten</t>
  </si>
  <si>
    <t>4.12 Gehälter kaufmännische Angestellte, inkl. Lohnfolgekosten</t>
  </si>
  <si>
    <t>4.20 Fuhrparkkosten</t>
  </si>
  <si>
    <t>4.30 Fertigungshilfskosten</t>
  </si>
  <si>
    <t>4.31 Löhne Hilfsdienste, inkl. Lohnfolgekosten</t>
  </si>
  <si>
    <t>4.32 sonstige Betriebskosten</t>
  </si>
  <si>
    <t>4.40 Schwerbehindertenabgabe</t>
  </si>
  <si>
    <t>4.50 Sonstige Verwaltungskosten</t>
  </si>
  <si>
    <t>4.60 Betriebsratskosten</t>
  </si>
  <si>
    <t>4.70 Sonstige Kosten (Verbandsbeiträge, Zertifizierung, etc.)</t>
  </si>
  <si>
    <t>4.80 Vorfinanzierung Sozialversicherungsbeiträge</t>
  </si>
  <si>
    <t>Zwischensumme unternehmensbezogene Kosten</t>
  </si>
  <si>
    <t>6.00 Gewerbesteuer</t>
  </si>
  <si>
    <t>resultierender Stundenverrechnungssatz (Mischsatz Werktage):</t>
  </si>
  <si>
    <t>Summe</t>
  </si>
  <si>
    <t>Arbeitseinsatz</t>
  </si>
  <si>
    <t>Verrechenbare Arbeitstage - Basistabelle</t>
  </si>
  <si>
    <t>Bodenbelag</t>
  </si>
  <si>
    <t>Büro</t>
  </si>
  <si>
    <t>Lager</t>
  </si>
  <si>
    <t>Technik</t>
  </si>
  <si>
    <t>Halle</t>
  </si>
  <si>
    <t>Abstellraum</t>
  </si>
  <si>
    <t>PVC</t>
  </si>
  <si>
    <t>Holz</t>
  </si>
  <si>
    <t>Fliesen</t>
  </si>
  <si>
    <t>Parkett</t>
  </si>
  <si>
    <t>K1</t>
  </si>
  <si>
    <t>Büro, Arbeitsraum</t>
  </si>
  <si>
    <t>Duschen, Waschräume</t>
  </si>
  <si>
    <t>Flure/Verkehrswege</t>
  </si>
  <si>
    <t>Aufzüge</t>
  </si>
  <si>
    <t>Treppen, Aufgänge</t>
  </si>
  <si>
    <t>Gruppenräume, Mehrzweckräume</t>
  </si>
  <si>
    <t>Umkleiden, Garderoben</t>
  </si>
  <si>
    <t>Küchen</t>
  </si>
  <si>
    <t>Mittagsbetreuung</t>
  </si>
  <si>
    <t>Turnhallen</t>
  </si>
  <si>
    <t>Sanitärräume/WCs/Sanitätsräume</t>
  </si>
  <si>
    <t>Raumgruppen:</t>
  </si>
  <si>
    <t>A1</t>
  </si>
  <si>
    <t>B1</t>
  </si>
  <si>
    <t>B2</t>
  </si>
  <si>
    <t>D1</t>
  </si>
  <si>
    <t>E1</t>
  </si>
  <si>
    <t>F1</t>
  </si>
  <si>
    <t>F2</t>
  </si>
  <si>
    <t>F3</t>
  </si>
  <si>
    <t>G1</t>
  </si>
  <si>
    <t>H1</t>
  </si>
  <si>
    <t>L1</t>
  </si>
  <si>
    <t>L3</t>
  </si>
  <si>
    <t>N1</t>
  </si>
  <si>
    <t>N2</t>
  </si>
  <si>
    <t>S1</t>
  </si>
  <si>
    <t>U1</t>
  </si>
  <si>
    <t>U2</t>
  </si>
  <si>
    <t>U3</t>
  </si>
  <si>
    <t>Bodenfrequenz pro Woche:</t>
  </si>
  <si>
    <t>Reinigung auch unter losen Teppichen</t>
  </si>
  <si>
    <t>Reinigungstäglich sind loser Abfall und Grobverschmutzungen zu entfernen</t>
  </si>
  <si>
    <t>Hartbeläge (Fliesen-, Stein- und Estrichböden, elastische Beläge, Holzböden, etc.)</t>
  </si>
  <si>
    <t>Klassenzimmer, Gruppenräume, Verkehrsflächen, Verwaltungsbereiche: 1x monatl. Absatzstriche entfernen und in Klassenzimmer, Gruppenräumen und Verkehrsflächen Hartbeläge polieren</t>
  </si>
  <si>
    <t>Textilböden und Teppiche</t>
  </si>
  <si>
    <t>Bürstsaugen, soweit die Bodenbeläge hierfür geeignet sind</t>
  </si>
  <si>
    <t>Fußbodenabläufe</t>
  </si>
  <si>
    <t>Fußleisten, Einstiegsabschlussleisten</t>
  </si>
  <si>
    <t>Schmutzfangmatten, Roste</t>
  </si>
  <si>
    <t>(HNK)</t>
  </si>
  <si>
    <t>Es sind loser Abfall, Griffspuren und Grobverschmutzungen zu entfernen</t>
  </si>
  <si>
    <t>Tische, Sitzmöbel, Bänke, Ablagen</t>
  </si>
  <si>
    <t>Türen, Schranktüren, Spindtüren, Glastüren und so. Innenglasflächen</t>
  </si>
  <si>
    <t>Griffbereiche</t>
  </si>
  <si>
    <t>WC-Papier-, Handtuchspender, Seifenspender etc.</t>
  </si>
  <si>
    <t>reinigen, bei Bedarf bestücken</t>
  </si>
  <si>
    <t>Papier, Seife stellt der Auftraggeber</t>
  </si>
  <si>
    <t>Wasch-, Spül- und Ausgussbecken</t>
  </si>
  <si>
    <t>Armaturen, Duschköpfe</t>
  </si>
  <si>
    <t>Chromteile regelmäßig entkalken</t>
  </si>
  <si>
    <t>Duschen, Duschwände</t>
  </si>
  <si>
    <t>inkl. WC- Bürste</t>
  </si>
  <si>
    <t>Küchenmobiliar, Automaten</t>
  </si>
  <si>
    <t>Außenflächen</t>
  </si>
  <si>
    <t>Tafelrinnen</t>
  </si>
  <si>
    <t>Sportgeräte, Fitnessgeräte</t>
  </si>
  <si>
    <t>Schalttableaus/Aufzugsbedienfeld</t>
  </si>
  <si>
    <t>(NNK)</t>
  </si>
  <si>
    <t>Garderoben, Schränke, Spinde, Vitrinen, Schaukästen, Stehlampen</t>
  </si>
  <si>
    <t>Reinigung grundsätzlich bis Raumhöhe</t>
  </si>
  <si>
    <t>Aufzugswände</t>
  </si>
  <si>
    <t>n.B. (nach Bedarf)</t>
  </si>
  <si>
    <t>Steckdosen</t>
  </si>
  <si>
    <t>So. Wandelemente (Türschilder, Bilderrahmen, Wandlampen, usw.)</t>
  </si>
  <si>
    <t>Leistungscode</t>
  </si>
  <si>
    <t>innen + außen auswischen</t>
  </si>
  <si>
    <t>Oberflächen, freie Flächen, incl.
Stuhlgleiter</t>
  </si>
  <si>
    <t>Summe Unterhaltsreinigung</t>
  </si>
  <si>
    <t>Gesamtergebnis</t>
  </si>
  <si>
    <t>WC</t>
  </si>
  <si>
    <t>Waschraum</t>
  </si>
  <si>
    <t>Windfang</t>
  </si>
  <si>
    <t>Räume ohne Reinigung bzw. Eigenreinigung</t>
  </si>
  <si>
    <t>Raum-Nr.</t>
  </si>
  <si>
    <t>Fläche gesamt, m²</t>
  </si>
  <si>
    <t>Ebene</t>
  </si>
  <si>
    <t>Aufzug</t>
  </si>
  <si>
    <t>Garderobe</t>
  </si>
  <si>
    <t>Linoleum</t>
  </si>
  <si>
    <t>Mehrzweckraum</t>
  </si>
  <si>
    <t>Vorraum</t>
  </si>
  <si>
    <t>Nebenraum</t>
  </si>
  <si>
    <t>Ruheraum</t>
  </si>
  <si>
    <t>Personal</t>
  </si>
  <si>
    <t>Gruppenraum</t>
  </si>
  <si>
    <t>Gruppenraum 2</t>
  </si>
  <si>
    <t>Gruppenraum 1</t>
  </si>
  <si>
    <t>WC Personal</t>
  </si>
  <si>
    <t>Schlafraum</t>
  </si>
  <si>
    <t>Stuhllager</t>
  </si>
  <si>
    <t>Speisesaal</t>
  </si>
  <si>
    <t>Treppe</t>
  </si>
  <si>
    <t>Sekretariat</t>
  </si>
  <si>
    <t>Vorräte</t>
  </si>
  <si>
    <t>Werkräume, Fachräume</t>
  </si>
  <si>
    <t>WC-Mädchen</t>
  </si>
  <si>
    <t>Glasreinigung Innenglas</t>
  </si>
  <si>
    <t>Bauteil</t>
  </si>
  <si>
    <t>UG</t>
  </si>
  <si>
    <t>Hausmeisterbüro</t>
  </si>
  <si>
    <t>Lehrerzimmer</t>
  </si>
  <si>
    <t>Konrektorat</t>
  </si>
  <si>
    <t>Flur 1</t>
  </si>
  <si>
    <t>Flur 2</t>
  </si>
  <si>
    <t>KG</t>
  </si>
  <si>
    <t>Weitere Hinweise: siehe Leistungsbeschreibung</t>
  </si>
  <si>
    <t>S: Schulen</t>
  </si>
  <si>
    <t>M2</t>
  </si>
  <si>
    <t>V: Verwaltungsgebäude u. ä.</t>
  </si>
  <si>
    <t>Wand- und Deckenlampen</t>
  </si>
  <si>
    <t>unter Beachtung der Sicherheitsvorschriften</t>
  </si>
  <si>
    <t>Telefone, technische Geräte</t>
  </si>
  <si>
    <t>abstauben/fachgerecht reinigen</t>
  </si>
  <si>
    <t>wässern, reinigen</t>
  </si>
  <si>
    <t>(nicht abgezogen)</t>
  </si>
  <si>
    <t>inkl. Abzug von Feiertagen</t>
  </si>
  <si>
    <t>ohne Abzug von Feiertagen</t>
  </si>
  <si>
    <t>Mo</t>
  </si>
  <si>
    <t>Di</t>
  </si>
  <si>
    <t>Mi</t>
  </si>
  <si>
    <t>Do</t>
  </si>
  <si>
    <t>Fr</t>
  </si>
  <si>
    <t>Sa</t>
  </si>
  <si>
    <t>So</t>
  </si>
  <si>
    <t>gesamt</t>
  </si>
  <si>
    <t>Feiertage</t>
  </si>
  <si>
    <t>Ostersonntag</t>
  </si>
  <si>
    <t>Pfingstsonntag</t>
  </si>
  <si>
    <t xml:space="preserve">Ostermontag </t>
  </si>
  <si>
    <t>Pfingstmontag</t>
  </si>
  <si>
    <t>Karfreitag</t>
  </si>
  <si>
    <t>Christi Himmelfahrt</t>
  </si>
  <si>
    <t>Fronleichnam</t>
  </si>
  <si>
    <t>Neujahr</t>
  </si>
  <si>
    <t>Heilig-Drei-König</t>
  </si>
  <si>
    <t>Tag d. Arbeit (1. Mai)</t>
  </si>
  <si>
    <t>Tag d. Dt. Einh. 3.Okt.</t>
  </si>
  <si>
    <t>Mariä Himmelfahrt 15.08.</t>
  </si>
  <si>
    <t>Allerheiligen</t>
  </si>
  <si>
    <t>1. Weihnachtsfeiertag</t>
  </si>
  <si>
    <t>2. Weihnachtsfeiertag</t>
  </si>
  <si>
    <t>ohne Feiertage</t>
  </si>
  <si>
    <t>mit Feiertagen</t>
  </si>
  <si>
    <t>Musikraum</t>
  </si>
  <si>
    <t>Ergebnisdefinitionen</t>
  </si>
  <si>
    <t xml:space="preserve">Bodenflächen sind frei von Abfällen und losen Verschmutzungen, wie z. B. Staub, die manuell entfernbar sind </t>
  </si>
  <si>
    <t>Bodenflächen sind frei von durch 2- stufiges Nasswischen entfernbaren losen und haftenden Verschmutzungen, Schlieren und Schmutzeinlagerungen</t>
  </si>
  <si>
    <t>Textil- und Teppichflächen  sind frei von losen Verschmutzungen und Flecken</t>
  </si>
  <si>
    <t>Flächen sind frei von losen und haftenden Verschmutzungen</t>
  </si>
  <si>
    <t>Schmutzfangmatten und Roste sind gesaugt und gereinigt</t>
  </si>
  <si>
    <t>Die Hauptnutzungskomponenten sind frei von Abfällen und groben Verschmutzungen, die manuell entfernbar sind , sowie Griffspuren</t>
  </si>
  <si>
    <t>Abfallbehälter sind geleert und ggf. mit neuen Abfallbeuteln bestückt, die verschiedenen Sorten in die jeweiligen Sammelstellen verbracht</t>
  </si>
  <si>
    <t>Die Oberflächen sind frei von losen und von durch Feucht- bzw. Nasswischen/Saugen (je nach Oberfläche) entfernbaren haftenden Verschmutzungen, sowie schlierenfrei</t>
  </si>
  <si>
    <t>Flächen sind frei von Griffspuren</t>
  </si>
  <si>
    <t>Komponenten sind frei von losen und haftenden Verschmutzungen, Kalkablagerungen und Schlieren, gereinigt und trocken</t>
  </si>
  <si>
    <t>Elemente sind frei von losen und haftenden Verschmutzungen, Streifen,Schlieren und Griffspuren</t>
  </si>
  <si>
    <t>Tafelrinnen sind frei von losen und haftenden Verschmutzungen und trocken</t>
  </si>
  <si>
    <t>Sportgeräte sind frei von losen Verschmutzungen und Staub</t>
  </si>
  <si>
    <t>Flächen sind frei von losen und haftenden Verschmutzungen, Streifen und Schlieren</t>
  </si>
  <si>
    <t>Fensterbänke sind frei von losen, haftenden Verschmutzungen, Staub und Schlieren</t>
  </si>
  <si>
    <t>Spinnweben sind entfernt</t>
  </si>
  <si>
    <t>Gruppenräume, Verkehrsflächen, Verwaltungsbereiche: 1x monatl. Absatzstriche entfernen und in Gruppenräumen und Verkehrsflächen Hartbeläge polieren</t>
  </si>
  <si>
    <t>Sollte Ihr Drucker/Ihre PDF-Ansicht die Seitenumbrüche nicht ideal wiedergeben, so passen Sie diese bitte entsprechend an. Dies gilt auch für die Anpassung der Spaltenbreiten.</t>
  </si>
  <si>
    <t>SV-pflichtig Beschäftigte ab 2.000 €</t>
  </si>
  <si>
    <t>Midijobber</t>
  </si>
  <si>
    <t>Minijobber</t>
  </si>
  <si>
    <t>Prozent</t>
  </si>
  <si>
    <t>Euro</t>
  </si>
  <si>
    <t>Anteil SV-pflichtige</t>
  </si>
  <si>
    <t>Anteil Midi-jobber</t>
  </si>
  <si>
    <t>Anteil Mini-jobber</t>
  </si>
  <si>
    <t>Produktivlohn in € gesamt p.a.:</t>
  </si>
  <si>
    <t>Gesamt</t>
  </si>
  <si>
    <t>sep. Pos.</t>
  </si>
  <si>
    <t>3.10a Löhne Aufsichten/Vorarbeiter inkl. Sozialer Folgeko.</t>
  </si>
  <si>
    <t>3.40 Sondereinzelkosten inkl. Qualitätsmanagement</t>
  </si>
  <si>
    <t>7.00 Wagnis- / Gewinnzuschlag</t>
  </si>
  <si>
    <t>Anteil Midijobber:</t>
  </si>
  <si>
    <t>Anteil Minijobber:</t>
  </si>
  <si>
    <t>Lohnkostenanteil:</t>
  </si>
  <si>
    <t>Std. p.a. OL/VA</t>
  </si>
  <si>
    <t>SVS OL/VA</t>
  </si>
  <si>
    <t>UHR</t>
  </si>
  <si>
    <t>SVS:</t>
  </si>
  <si>
    <t>Gemeinde Oberhaching</t>
  </si>
  <si>
    <t>Kalkulation UHR Grundschule Deisenhofen</t>
  </si>
  <si>
    <t>Schule</t>
  </si>
  <si>
    <t>Hort</t>
  </si>
  <si>
    <t>Sporthalle</t>
  </si>
  <si>
    <t>OG</t>
  </si>
  <si>
    <t>1.C.01</t>
  </si>
  <si>
    <t>1.C.02</t>
  </si>
  <si>
    <t>Klassenraum 7</t>
  </si>
  <si>
    <t>1.C.03</t>
  </si>
  <si>
    <t>1.C.04</t>
  </si>
  <si>
    <t>Klassenraum 8</t>
  </si>
  <si>
    <t>1.C.05</t>
  </si>
  <si>
    <t>1.C.06</t>
  </si>
  <si>
    <t>1.C.07</t>
  </si>
  <si>
    <t>Klassenraum 9</t>
  </si>
  <si>
    <t>1.C.08</t>
  </si>
  <si>
    <t>1.C.09</t>
  </si>
  <si>
    <t>Klassenraum 10</t>
  </si>
  <si>
    <t>1.C.10</t>
  </si>
  <si>
    <t>1.C.12</t>
  </si>
  <si>
    <t>Lehrmittel</t>
  </si>
  <si>
    <t>1.C.13</t>
  </si>
  <si>
    <t>WC-Lehrer</t>
  </si>
  <si>
    <t>1.C.14</t>
  </si>
  <si>
    <t>1.C.15</t>
  </si>
  <si>
    <t>WC-Jungen</t>
  </si>
  <si>
    <t>1.C.16</t>
  </si>
  <si>
    <t>WC-Behinderte</t>
  </si>
  <si>
    <t>1.C.17</t>
  </si>
  <si>
    <t>1.C.18</t>
  </si>
  <si>
    <t>1.C.19</t>
  </si>
  <si>
    <t>Klassenraum 11</t>
  </si>
  <si>
    <t>1.C.20</t>
  </si>
  <si>
    <t>1.C.21</t>
  </si>
  <si>
    <t>Klassenraum 12</t>
  </si>
  <si>
    <t>1.C.22</t>
  </si>
  <si>
    <t>1.C.23</t>
  </si>
  <si>
    <t>1.C.24</t>
  </si>
  <si>
    <t>Informatik</t>
  </si>
  <si>
    <t>1.C.25</t>
  </si>
  <si>
    <t>1.C.26</t>
  </si>
  <si>
    <t>Klassenraum 13</t>
  </si>
  <si>
    <t>1.C.27</t>
  </si>
  <si>
    <t>1.C.28</t>
  </si>
  <si>
    <t>Klassenraum 14</t>
  </si>
  <si>
    <t>1.C.29</t>
  </si>
  <si>
    <t>1.C.33</t>
  </si>
  <si>
    <t>1.C.34</t>
  </si>
  <si>
    <t>1.C.35</t>
  </si>
  <si>
    <t>1.C.36</t>
  </si>
  <si>
    <t>Bewegungsraum 2</t>
  </si>
  <si>
    <t>1.C.F.01</t>
  </si>
  <si>
    <t>1.C.F.02</t>
  </si>
  <si>
    <t>1.C.F.03</t>
  </si>
  <si>
    <t>1.C.F.04</t>
  </si>
  <si>
    <t>1.C.F.05</t>
  </si>
  <si>
    <t>1.C.F.06</t>
  </si>
  <si>
    <t>1.C.F.07</t>
  </si>
  <si>
    <t>1.C.F.08</t>
  </si>
  <si>
    <t>1.C.T.02</t>
  </si>
  <si>
    <t>1.C.T.03</t>
  </si>
  <si>
    <t>1.C.T.04</t>
  </si>
  <si>
    <t>1.C.T.05</t>
  </si>
  <si>
    <t>1.C.T.06</t>
  </si>
  <si>
    <t>1.D.37</t>
  </si>
  <si>
    <t>Stille Pause</t>
  </si>
  <si>
    <t>1.D.38</t>
  </si>
  <si>
    <t>1.D.39</t>
  </si>
  <si>
    <t>1.D.40a</t>
  </si>
  <si>
    <t>1.D.41</t>
  </si>
  <si>
    <t>Bewegungsraum 1</t>
  </si>
  <si>
    <t>1.D.42</t>
  </si>
  <si>
    <t>1.D.43</t>
  </si>
  <si>
    <t>1.D.44</t>
  </si>
  <si>
    <t>1.D.45</t>
  </si>
  <si>
    <t>1.D.45a</t>
  </si>
  <si>
    <t>1.D.46</t>
  </si>
  <si>
    <t>1.D.47</t>
  </si>
  <si>
    <t>1.D.48</t>
  </si>
  <si>
    <t>Klassenraum 16</t>
  </si>
  <si>
    <t>1.D.49</t>
  </si>
  <si>
    <t>1.D.50</t>
  </si>
  <si>
    <t>1.D.51</t>
  </si>
  <si>
    <t>Brettspielraum</t>
  </si>
  <si>
    <t>1.D.52</t>
  </si>
  <si>
    <t>Kreativraum Kunst</t>
  </si>
  <si>
    <t>1.D.F.10</t>
  </si>
  <si>
    <t>1.D.F.11</t>
  </si>
  <si>
    <t>1.D.F.12</t>
  </si>
  <si>
    <t>1.D.F.13</t>
  </si>
  <si>
    <t>1.D.F.14</t>
  </si>
  <si>
    <t>1.D.F.15</t>
  </si>
  <si>
    <t>1.D.T.07</t>
  </si>
  <si>
    <t>1.D.T.08</t>
  </si>
  <si>
    <t>1.D.Z.02</t>
  </si>
  <si>
    <t>E.A.01</t>
  </si>
  <si>
    <t>Tribünen</t>
  </si>
  <si>
    <t>E.A.02</t>
  </si>
  <si>
    <t>E.A.F.01</t>
  </si>
  <si>
    <t>E.A.F.02</t>
  </si>
  <si>
    <t>E.A.T.01</t>
  </si>
  <si>
    <t>E.A.Z.01</t>
  </si>
  <si>
    <t>E.B.03</t>
  </si>
  <si>
    <t>Mehrzweckhalle</t>
  </si>
  <si>
    <t>E.C.04</t>
  </si>
  <si>
    <t>E.C.05</t>
  </si>
  <si>
    <t>Klassenraum 1</t>
  </si>
  <si>
    <t>E.C.06</t>
  </si>
  <si>
    <t>E.C.07</t>
  </si>
  <si>
    <t>Klassenraum 2</t>
  </si>
  <si>
    <t>E.C.08</t>
  </si>
  <si>
    <t>E.C.09</t>
  </si>
  <si>
    <t>E.C.10</t>
  </si>
  <si>
    <t>Klassenraum 3</t>
  </si>
  <si>
    <t>E.C.11</t>
  </si>
  <si>
    <t>E.C.12</t>
  </si>
  <si>
    <t>Klassenraum 4</t>
  </si>
  <si>
    <t>E.C.13</t>
  </si>
  <si>
    <t>E.C.15</t>
  </si>
  <si>
    <t>E.C.16</t>
  </si>
  <si>
    <t>E.C.17</t>
  </si>
  <si>
    <t>E.C.18</t>
  </si>
  <si>
    <t>E.C.19</t>
  </si>
  <si>
    <t>E.C.20</t>
  </si>
  <si>
    <t>E.C.21</t>
  </si>
  <si>
    <t>Klassenraum 5</t>
  </si>
  <si>
    <t>E.C.22</t>
  </si>
  <si>
    <t>E.C.23</t>
  </si>
  <si>
    <t>Klassenraum 6</t>
  </si>
  <si>
    <t>E.C.24</t>
  </si>
  <si>
    <t>E.C.26</t>
  </si>
  <si>
    <t>Pausenhalle</t>
  </si>
  <si>
    <t>E.C.27</t>
  </si>
  <si>
    <t>E.C.27a</t>
  </si>
  <si>
    <t>1. Hilfe in Sekretariat inkl.</t>
  </si>
  <si>
    <t>E.C.28</t>
  </si>
  <si>
    <t>Rektorat</t>
  </si>
  <si>
    <t>E.C.29</t>
  </si>
  <si>
    <t>E.C.30</t>
  </si>
  <si>
    <t>E.C.31</t>
  </si>
  <si>
    <t>Kopierer</t>
  </si>
  <si>
    <t>E.C.32</t>
  </si>
  <si>
    <t>Sozialpäd</t>
  </si>
  <si>
    <t>E.C.33</t>
  </si>
  <si>
    <t>E.C.34</t>
  </si>
  <si>
    <t>E.C.35</t>
  </si>
  <si>
    <t>E.C.36</t>
  </si>
  <si>
    <t>E.C.37</t>
  </si>
  <si>
    <t>E.C.38</t>
  </si>
  <si>
    <t>Silentium</t>
  </si>
  <si>
    <t>E.C.39</t>
  </si>
  <si>
    <t>Bibliothek</t>
  </si>
  <si>
    <t>E.C.40</t>
  </si>
  <si>
    <t>E.C.41</t>
  </si>
  <si>
    <t>Umkleide</t>
  </si>
  <si>
    <t>E.C.41a</t>
  </si>
  <si>
    <t>Dusche</t>
  </si>
  <si>
    <t>E.C.43</t>
  </si>
  <si>
    <t>Büro Leitung</t>
  </si>
  <si>
    <t>E.C.45a</t>
  </si>
  <si>
    <t>E.C.45b</t>
  </si>
  <si>
    <t>E.C.45c</t>
  </si>
  <si>
    <t>Lager Lebensmittel</t>
  </si>
  <si>
    <t>E.C.46</t>
  </si>
  <si>
    <t>E.C.47</t>
  </si>
  <si>
    <t>E.C.48</t>
  </si>
  <si>
    <t>Experimentierraum</t>
  </si>
  <si>
    <t>E.C.49</t>
  </si>
  <si>
    <t>Holzwerkstatt</t>
  </si>
  <si>
    <t>E.C.50</t>
  </si>
  <si>
    <t>E.C.F.03</t>
  </si>
  <si>
    <t>E.C.F.04</t>
  </si>
  <si>
    <t>E.C.F.05</t>
  </si>
  <si>
    <t>E.C.F.06</t>
  </si>
  <si>
    <t>E.C.F.07</t>
  </si>
  <si>
    <t>E.C.F.08</t>
  </si>
  <si>
    <t>E.C.F.09</t>
  </si>
  <si>
    <t>E.C.F.10</t>
  </si>
  <si>
    <t>E.C.F.11</t>
  </si>
  <si>
    <t>E.C.F.12</t>
  </si>
  <si>
    <t>E.C.F.13</t>
  </si>
  <si>
    <t>E.C.T.02</t>
  </si>
  <si>
    <t>E.C.T.03</t>
  </si>
  <si>
    <t>E.C.T.04</t>
  </si>
  <si>
    <t>E.C.T.05</t>
  </si>
  <si>
    <t>E.C.T.06</t>
  </si>
  <si>
    <t>E.D.51</t>
  </si>
  <si>
    <t>E.D.52</t>
  </si>
  <si>
    <t>E.D.53</t>
  </si>
  <si>
    <t>E.D.54</t>
  </si>
  <si>
    <t>E.D.55</t>
  </si>
  <si>
    <t>E.D.56</t>
  </si>
  <si>
    <t>E.D.57</t>
  </si>
  <si>
    <t>E.D.58</t>
  </si>
  <si>
    <t>E.D.59</t>
  </si>
  <si>
    <t>Werken</t>
  </si>
  <si>
    <t>E.D.60</t>
  </si>
  <si>
    <t>Textilraum</t>
  </si>
  <si>
    <t>E.D.61</t>
  </si>
  <si>
    <t>E.D.62</t>
  </si>
  <si>
    <t>E.D.63</t>
  </si>
  <si>
    <t>E.D.63a</t>
  </si>
  <si>
    <t>E.D.64</t>
  </si>
  <si>
    <t>E.D.64a</t>
  </si>
  <si>
    <t>Medienraum PC</t>
  </si>
  <si>
    <t>E.D.65</t>
  </si>
  <si>
    <t>E.D.65a</t>
  </si>
  <si>
    <t>E.D.F.15</t>
  </si>
  <si>
    <t>E.D.F.16</t>
  </si>
  <si>
    <t>E.D.F.17</t>
  </si>
  <si>
    <t>E.D.F.18</t>
  </si>
  <si>
    <t>E.D.F.19</t>
  </si>
  <si>
    <t>E.D.T.07</t>
  </si>
  <si>
    <t>E.D.T.08</t>
  </si>
  <si>
    <t>E.D.Z.02</t>
  </si>
  <si>
    <t>U.A.01</t>
  </si>
  <si>
    <t>U.A.01a</t>
  </si>
  <si>
    <t>Geräte</t>
  </si>
  <si>
    <t>U.A.01b</t>
  </si>
  <si>
    <t>U.A.03</t>
  </si>
  <si>
    <t>Regie</t>
  </si>
  <si>
    <t>U.A.06</t>
  </si>
  <si>
    <t>U.A.07</t>
  </si>
  <si>
    <t>U.A.08</t>
  </si>
  <si>
    <t>U.A.09</t>
  </si>
  <si>
    <t>U.A.09a</t>
  </si>
  <si>
    <t>U.A.09b</t>
  </si>
  <si>
    <t>U.A.09c</t>
  </si>
  <si>
    <t>U.A.10</t>
  </si>
  <si>
    <t>U.A.11</t>
  </si>
  <si>
    <t>U.A.12</t>
  </si>
  <si>
    <t>U.A.13</t>
  </si>
  <si>
    <t>U.A.13a</t>
  </si>
  <si>
    <t>U.A.13b</t>
  </si>
  <si>
    <t>U.A.13c</t>
  </si>
  <si>
    <t>U.A.14</t>
  </si>
  <si>
    <t>U.A.F.01</t>
  </si>
  <si>
    <t>Vorraum Garderobe</t>
  </si>
  <si>
    <t>U.A.F.03</t>
  </si>
  <si>
    <t>U.A.F.04</t>
  </si>
  <si>
    <t>U.A.F.05</t>
  </si>
  <si>
    <t>U.A.F.06</t>
  </si>
  <si>
    <t>U.A.T.01</t>
  </si>
  <si>
    <t>U.A.Z.01</t>
  </si>
  <si>
    <t>U.C.15</t>
  </si>
  <si>
    <t>U.C.18</t>
  </si>
  <si>
    <t>Requisiten/Lager</t>
  </si>
  <si>
    <t>U.C.23</t>
  </si>
  <si>
    <t>U.C.F.07</t>
  </si>
  <si>
    <t>U.C.F.08</t>
  </si>
  <si>
    <t>U.D.24</t>
  </si>
  <si>
    <t>Hausmeisterwerkstatt</t>
  </si>
  <si>
    <t>U.D.27</t>
  </si>
  <si>
    <t>U.D.F.09</t>
  </si>
  <si>
    <t>U.D.F.10</t>
  </si>
  <si>
    <t>U.D.F.11</t>
  </si>
  <si>
    <t>U.D.F.12</t>
  </si>
  <si>
    <t>U.D.T.08</t>
  </si>
  <si>
    <t>U.D.Z.02</t>
  </si>
  <si>
    <t>Naturstein</t>
  </si>
  <si>
    <t>Treppenhaus zum EG</t>
  </si>
  <si>
    <t>Treppenhaus zum OG</t>
  </si>
  <si>
    <t>Kalkulation Innenglas Grundschule Deisenhofen</t>
  </si>
  <si>
    <t>2. Regiestunden</t>
  </si>
  <si>
    <t>€/Jahr</t>
  </si>
  <si>
    <t>Std./Jahr</t>
  </si>
  <si>
    <t>Die Mengengerüste stellen Schätzungen aus den Erfahrungen des Auftraggebers dar. Ein Anspruch auf Beauftragung besteht nicht.</t>
  </si>
  <si>
    <t>Summe Regiestunden</t>
  </si>
  <si>
    <t>Garderobe 2</t>
  </si>
  <si>
    <t>Garderobe 1</t>
  </si>
  <si>
    <t>Treppe zur Galerie</t>
  </si>
  <si>
    <t>Abstellraum 1</t>
  </si>
  <si>
    <t>Abstellraum 2</t>
  </si>
  <si>
    <t>Garderobe 3</t>
  </si>
  <si>
    <t>Abstellraum 3</t>
  </si>
  <si>
    <t>Gruppenraum 3</t>
  </si>
  <si>
    <t>Kalkulation UHR Kindergarten Am Rain</t>
  </si>
  <si>
    <t>Kalkulation Innenglas Kindergarten Am Rain</t>
  </si>
  <si>
    <t>Reserveraum</t>
  </si>
  <si>
    <t>Betreuung 1</t>
  </si>
  <si>
    <t>Betreuung 2</t>
  </si>
  <si>
    <t>Krabbelgruppe 2</t>
  </si>
  <si>
    <t>Spielhaus</t>
  </si>
  <si>
    <t>Krabbelgruppe 1</t>
  </si>
  <si>
    <t>WC und Wickelraum</t>
  </si>
  <si>
    <t>Flur 3</t>
  </si>
  <si>
    <t>Zwischenflur</t>
  </si>
  <si>
    <t>Vorplatz</t>
  </si>
  <si>
    <t>Intensivraum 1 Kinderküche</t>
  </si>
  <si>
    <t>Waschraum 2</t>
  </si>
  <si>
    <t>Waschraum 3</t>
  </si>
  <si>
    <t>Intensivraum 3</t>
  </si>
  <si>
    <t xml:space="preserve">Intensivraum 1 </t>
  </si>
  <si>
    <t>WC Behinderte + Dusche</t>
  </si>
  <si>
    <t>Waschraum 1</t>
  </si>
  <si>
    <t>Flur Personal</t>
  </si>
  <si>
    <t>Müllraum</t>
  </si>
  <si>
    <t>Fahrrad Kinderwagen Abstellraum</t>
  </si>
  <si>
    <t>Gerätehaus außen</t>
  </si>
  <si>
    <t>Galerie 1</t>
  </si>
  <si>
    <t>Galerie 2</t>
  </si>
  <si>
    <t>Galerie 3</t>
  </si>
  <si>
    <t>Unterhaltsreinigung Kindergarten Am Rain</t>
  </si>
  <si>
    <t>Stundenverrechnungssatz Unterhaltsreinigung</t>
  </si>
  <si>
    <t>Heizung</t>
  </si>
  <si>
    <t>Summe Grundreinigung</t>
  </si>
  <si>
    <t>H1-W5</t>
  </si>
  <si>
    <t>B1-W3</t>
  </si>
  <si>
    <t>B1-W1</t>
  </si>
  <si>
    <t>G1-W5</t>
  </si>
  <si>
    <t>S1-W5</t>
  </si>
  <si>
    <t>D1-W5</t>
  </si>
  <si>
    <t>K: Hortbereiche, Kindergärten, Kitas</t>
  </si>
  <si>
    <t>S1-W6</t>
  </si>
  <si>
    <t>F3-W5</t>
  </si>
  <si>
    <t>F1-W1</t>
  </si>
  <si>
    <t>F1-W5</t>
  </si>
  <si>
    <t>Galerie</t>
  </si>
  <si>
    <t>E1-W5</t>
  </si>
  <si>
    <t>Vorräume, Nebenräume</t>
  </si>
  <si>
    <t>U3-W5</t>
  </si>
  <si>
    <t>F4</t>
  </si>
  <si>
    <t>F4-W3</t>
  </si>
  <si>
    <t>K1-W5</t>
  </si>
  <si>
    <t>Mensa, Speiseräume</t>
  </si>
  <si>
    <t>M1-W5</t>
  </si>
  <si>
    <t>Besprechungs-, Konferenz-, Seminarraum, Bibliothek</t>
  </si>
  <si>
    <t>U3-W1</t>
  </si>
  <si>
    <t>L1-W1</t>
  </si>
  <si>
    <t>L1-M1</t>
  </si>
  <si>
    <t>L1-J2</t>
  </si>
  <si>
    <t>L1-J4</t>
  </si>
  <si>
    <t>N1-W6</t>
  </si>
  <si>
    <t>Die Mengengerüste sind Schätzungen des Auftraggebers. Ein Anspruch auf Beauftragung besteht nicht.</t>
  </si>
  <si>
    <t>Stk./Jahr</t>
  </si>
  <si>
    <t>€/Stk.</t>
  </si>
  <si>
    <t>Reinigung von Kühlschränken (innen)</t>
  </si>
  <si>
    <t>Reinigung von Schränken (innen)</t>
  </si>
  <si>
    <t>Reinigung von Deckenlampen/-flutern (außerhalb der LV-Häufigkeiten)</t>
  </si>
  <si>
    <t>Summe Sonderarbeiten Stk.</t>
  </si>
  <si>
    <t>Personalaufenthalt</t>
  </si>
  <si>
    <t>Putzraum</t>
  </si>
  <si>
    <t>Gruppen-Nebenraum</t>
  </si>
  <si>
    <t>Treppenhaus Vorplatz</t>
  </si>
  <si>
    <t>Bunker (Pellets)</t>
  </si>
  <si>
    <t>Zähler</t>
  </si>
  <si>
    <t>Stromanschluss</t>
  </si>
  <si>
    <t>Speicher</t>
  </si>
  <si>
    <t>Z-kR</t>
  </si>
  <si>
    <t>L3-J1</t>
  </si>
  <si>
    <t>A1-W5</t>
  </si>
  <si>
    <t>E.C.01a</t>
  </si>
  <si>
    <t>HLS</t>
  </si>
  <si>
    <t>E.C.14</t>
  </si>
  <si>
    <t>ELT</t>
  </si>
  <si>
    <t>E.C.25</t>
  </si>
  <si>
    <t>Arbeitszimmer Lehrer</t>
  </si>
  <si>
    <t>Elternsprechzimmer</t>
  </si>
  <si>
    <t>E.C.42</t>
  </si>
  <si>
    <t>Putzmittel</t>
  </si>
  <si>
    <t>E.C.44</t>
  </si>
  <si>
    <t>Tanz- und Musik</t>
  </si>
  <si>
    <t>E.D.56a</t>
  </si>
  <si>
    <t>U.A.04</t>
  </si>
  <si>
    <t>U.A.05</t>
  </si>
  <si>
    <t>U.A.02a</t>
  </si>
  <si>
    <t>Aufzugmaschinenraum</t>
  </si>
  <si>
    <t>U.C.16</t>
  </si>
  <si>
    <t>Lager Sporthalle</t>
  </si>
  <si>
    <t>U.C.17</t>
  </si>
  <si>
    <t>1.A.01</t>
  </si>
  <si>
    <t>1.C.11</t>
  </si>
  <si>
    <t>IT</t>
  </si>
  <si>
    <t>1.D.40</t>
  </si>
  <si>
    <t>diverse</t>
  </si>
  <si>
    <t>E.A.02a</t>
  </si>
  <si>
    <t>Mediengeräte</t>
  </si>
  <si>
    <t>E.A.03a</t>
  </si>
  <si>
    <t>E.A.02b</t>
  </si>
  <si>
    <t>Catering</t>
  </si>
  <si>
    <t>Untergrenze LW
in m²/h</t>
  </si>
  <si>
    <t>Obergrenze LW
in m²/h</t>
  </si>
  <si>
    <t>Windfänge</t>
  </si>
  <si>
    <t>Foyers, Eingangshallen</t>
  </si>
  <si>
    <t>E2</t>
  </si>
  <si>
    <t>Gymnastik-, Sportraum</t>
  </si>
  <si>
    <t>Unterrichtsräume, Klassenzimmer</t>
  </si>
  <si>
    <t>Aufenthalt-/Gemeinschaftsraum Personal</t>
  </si>
  <si>
    <t>Aufenthalt Eltern/Personal</t>
  </si>
  <si>
    <t>Eingang</t>
  </si>
  <si>
    <t>E2-W5</t>
  </si>
  <si>
    <t>U.C.19</t>
  </si>
  <si>
    <t>S.i.B. EL</t>
  </si>
  <si>
    <t>U.C.20</t>
  </si>
  <si>
    <t>BMZ</t>
  </si>
  <si>
    <t>U.C.21</t>
  </si>
  <si>
    <t>U.C.22</t>
  </si>
  <si>
    <t>U.C.K.01</t>
  </si>
  <si>
    <t>Kriechgang</t>
  </si>
  <si>
    <t>U.C.K.01a</t>
  </si>
  <si>
    <t>U.D.25</t>
  </si>
  <si>
    <t>L1-J1</t>
  </si>
  <si>
    <t>U.D.26</t>
  </si>
  <si>
    <t>Lager Hort</t>
  </si>
  <si>
    <t>U.D.28a</t>
  </si>
  <si>
    <t>Dusche Hort</t>
  </si>
  <si>
    <t>Umkleide Hort</t>
  </si>
  <si>
    <t>U.D.29</t>
  </si>
  <si>
    <t>Putzlager, Personalumkleide</t>
  </si>
  <si>
    <t>U.C.K.02</t>
  </si>
  <si>
    <t>U.C.K.03</t>
  </si>
  <si>
    <t>Technik Küche</t>
  </si>
  <si>
    <t>U.C.K.04</t>
  </si>
  <si>
    <t>1. Grundreinigung Mobiliar, Oberflächen und Einrichtung</t>
  </si>
  <si>
    <t>Pos.</t>
  </si>
  <si>
    <t>Bestandteile</t>
  </si>
  <si>
    <t>Tätigkeit</t>
  </si>
  <si>
    <t>Bemerkung</t>
  </si>
  <si>
    <t>Mobiliar</t>
  </si>
  <si>
    <t>gesamte Außenflächen incl. Gestelle etc.</t>
  </si>
  <si>
    <t>gründlich nass reinigen</t>
  </si>
  <si>
    <t>Pos. 1 bis 9: 
grundsätzlich mit Mikrofaser, nur wenn aufgrund der Oberflächenmaterialien eine andere Technologie erforderlich ist, darf hiervon abgewichen werden</t>
  </si>
  <si>
    <t>Umkleidespinde</t>
  </si>
  <si>
    <t>gesamte Innenflächen</t>
  </si>
  <si>
    <t>Vitrinen</t>
  </si>
  <si>
    <t>gesamte Außen - und Innenflächen</t>
  </si>
  <si>
    <t>Bilderrahmen</t>
  </si>
  <si>
    <t>Rahmen + Verglasung</t>
  </si>
  <si>
    <t>entstauben, feucht reinigen + polieren</t>
  </si>
  <si>
    <t>Wandelemente</t>
  </si>
  <si>
    <t>Tafeln, Lichtschalter, Steckdosen, Schilder, etc.</t>
  </si>
  <si>
    <t>gründlich fachgerecht reinigen</t>
  </si>
  <si>
    <t>Schränke, Spinde, Türen</t>
  </si>
  <si>
    <t>Außenflächen über 1,60 m incl. Oberseiten</t>
  </si>
  <si>
    <t>Sanitäre Einrichtungen</t>
  </si>
  <si>
    <t>gesamte Außenflächen, Armaturen etc.</t>
  </si>
  <si>
    <t>abwaschbare Wände</t>
  </si>
  <si>
    <t>gesamte Flächen</t>
  </si>
  <si>
    <t>Heizkörper, Heizungsrohre</t>
  </si>
  <si>
    <t>Lüftungen und Wandlampen</t>
  </si>
  <si>
    <t>inkl. Steighilfen</t>
  </si>
  <si>
    <t>gründlich feucht bzw. nass reinigen</t>
  </si>
  <si>
    <t>ohne Demontage</t>
  </si>
  <si>
    <t>Geräteräume</t>
  </si>
  <si>
    <t>Boden + Turngeräte</t>
  </si>
  <si>
    <t>gründlich nass wischen bzw. nass reinigen</t>
  </si>
  <si>
    <t>incl. Aus- und Einräumen beweglicher Gegenstände</t>
  </si>
  <si>
    <t>2. Grundreinigung Bodenarbeiten</t>
  </si>
  <si>
    <t>Fliesenböden</t>
  </si>
  <si>
    <t>gesamte Bodenflächen inkl. Fugen und Sockelleisten</t>
  </si>
  <si>
    <t>maschinell nass reinigen soweit möglich</t>
  </si>
  <si>
    <t>sonstige Hartböden</t>
  </si>
  <si>
    <t>gesamte Bodenflächen inkl. Sockelleisten</t>
  </si>
  <si>
    <t>gründlich reinigen, Schutzschichten gemäß der Pflegeanleitungen entfernen und erneuern</t>
  </si>
  <si>
    <t>Teppichböden</t>
  </si>
  <si>
    <t>Shampoonieren + Extrahieren</t>
  </si>
  <si>
    <t>Lose Teppiche</t>
  </si>
  <si>
    <t>gesamte Fläche</t>
  </si>
  <si>
    <t>Parkett- und Holzböden</t>
  </si>
  <si>
    <t>gesamte Fläche inkl. Sockelleisten</t>
  </si>
  <si>
    <t>fachgerecht reinigen und polieren</t>
  </si>
  <si>
    <t>3. Bei jeder Grundreinigung durchzuführende Leistungen</t>
  </si>
  <si>
    <t>4. Grundsätze und weitere Bestimmungen</t>
  </si>
  <si>
    <t>Die beauftragten Bereiche mit beschichteten bzw. versiegelten Bodenflächen: Fußbodenbeschichtung bzw. -versiegelung vollständig entfernen, neutralisieren, nach Anweisung neu beschichten (mit der gewünschten Substanz - mind. dreifach); ggf. die Versiegelung nicht entfernen, sondern nur gründlich reinigen, wenn die Versiegelung gemäß Auftraggeber in einwandfreiem Zustand ist.</t>
  </si>
  <si>
    <t>Grundsätzlich sind - mit Ausnahme der Decken - alle waagrechten und senkrechten Flächen und Gestelle gründlich nass zu reinigen und nachzutrocknen bzw., wenn nur feucht möglich, gründlich feucht reinigen.Dies gilt auch für alle vorstehend nicht einzeln aufgeführten Raumelemente wie Wand-, Pinnwandleisten und Tafelrahmen.</t>
  </si>
  <si>
    <t>Eine beauftragte Grundreinigung soll während der Ferien nach Absprache mit den jeweiligen Hausmeistern bzw. Ansprechpartnern durchgeführt werden.</t>
  </si>
  <si>
    <t>Eine beauftragte Grundreinigung in Objekten ohne Ferienzeiten erfolgt in Absprache mit den verantwortlichen Ansprechpartnern raumweise über das Jahr verteilt.</t>
  </si>
  <si>
    <t>Mindestens eine Woche vor Beginn der Grundreinigung ist mit den jeweiligen Ansprechpartnern abzuklären, wann und wo gereinigt wird.</t>
  </si>
  <si>
    <t>An den jeweiligen Reinigungstagen haben sich die Reinigungskräfte bei dem jeweiligen Ansprechpartner an- und abzumelden.</t>
  </si>
  <si>
    <t>Die Grundreinigung soll schnellstmöglich an aufeinanderfolgenden Tagen ausgeführt werden.</t>
  </si>
  <si>
    <t>Unproduktive Leistungen UHR</t>
  </si>
  <si>
    <t>Stundenverrechnungssatz Grundreinigung</t>
  </si>
  <si>
    <t>4.51 Kosten für IT / IT-Sicherheit</t>
  </si>
  <si>
    <t>Grundreinigung</t>
  </si>
  <si>
    <t>Grundreinigung Kindergarten Am Rain</t>
  </si>
  <si>
    <t>Reinigungskraft UHR</t>
  </si>
  <si>
    <t>Kalkulation GR Kiga Am Rain</t>
  </si>
  <si>
    <t>Kalkulation GR GS Deisenhofen</t>
  </si>
  <si>
    <t>Fußbodenabläufe sind gewässert und gereinigt</t>
  </si>
  <si>
    <t>Raumgruppe UHR</t>
  </si>
  <si>
    <t>Raumgruppe GR</t>
  </si>
  <si>
    <t>Anlieferung Lebensmittel</t>
  </si>
  <si>
    <t>Stundenverrechnungssatz Innenglasreinigung</t>
  </si>
  <si>
    <t>PREISBLATT Los 1</t>
  </si>
  <si>
    <t>Reinigungskraft Innenglas</t>
  </si>
  <si>
    <t>siehe Tabellen</t>
  </si>
  <si>
    <t>Zahl Reini-gungen</t>
  </si>
  <si>
    <t>Preis pro Raum und Summe für den Monat</t>
  </si>
  <si>
    <t>taggenaue Abrechnung für den abgelaufenen Monat</t>
  </si>
  <si>
    <t>Verrechenbare Arbeitstage - Schulen</t>
  </si>
  <si>
    <t>Feiertage immer an Werktagen außerhalb Ferien</t>
  </si>
  <si>
    <t>Feiertage an Werktagen</t>
  </si>
  <si>
    <t>außerhalb Ferien:</t>
  </si>
  <si>
    <t>inkl. Abzug Feiertage</t>
  </si>
  <si>
    <t>Verrechenbare Tage ohne 24. u. 31.12. (außer bei 7xwö)</t>
  </si>
  <si>
    <t>Aufenthalt-/Gemeinschaftsraum, Lehrerzimmer</t>
  </si>
  <si>
    <t>Std. p.Rgg.</t>
  </si>
  <si>
    <t>in gelbe Zelle 1.Datum im Monat eintragen:</t>
  </si>
  <si>
    <t>ganzjährig</t>
  </si>
  <si>
    <t>Schulbetrieb</t>
  </si>
  <si>
    <t>Betrieb Kiga</t>
  </si>
  <si>
    <t>EUR / Reinigung</t>
  </si>
  <si>
    <t>F1-M1</t>
  </si>
  <si>
    <t>Epoxid</t>
  </si>
  <si>
    <t>Nebenraum Werken</t>
  </si>
  <si>
    <t>Naturstein/ Sauberlaufzone</t>
  </si>
  <si>
    <t>E.A.02c</t>
  </si>
  <si>
    <t>Elastischer Sportboden</t>
  </si>
  <si>
    <t>Lehrer-Umkleide inkl. Dusche und WC</t>
  </si>
  <si>
    <t>Linoleum/ Fliesen</t>
  </si>
  <si>
    <t>Hartbelag</t>
  </si>
  <si>
    <t>U.A.F.02</t>
  </si>
  <si>
    <t>U.A.02</t>
  </si>
  <si>
    <t>U.D.30</t>
  </si>
  <si>
    <t>Estrich</t>
  </si>
  <si>
    <t>B1-M1</t>
  </si>
  <si>
    <t>F3-M1</t>
  </si>
  <si>
    <t>U.D.28</t>
  </si>
  <si>
    <t>D1-M1</t>
  </si>
  <si>
    <t>H1-M1</t>
  </si>
  <si>
    <t>Klassen-/Fachraum</t>
  </si>
  <si>
    <t>1.C.31</t>
  </si>
  <si>
    <t>1.C.30</t>
  </si>
  <si>
    <t>Treppe aus Wohnung</t>
  </si>
  <si>
    <t>Klassen-/Fachraum 15</t>
  </si>
  <si>
    <t>V1</t>
  </si>
  <si>
    <t>Veranstaltungsräume</t>
  </si>
  <si>
    <t>V1-W6</t>
  </si>
  <si>
    <t>Bed</t>
  </si>
  <si>
    <t>B2-W3</t>
  </si>
  <si>
    <t>U1-W3</t>
  </si>
  <si>
    <t>F1-W3</t>
  </si>
  <si>
    <t>L1-W5</t>
  </si>
  <si>
    <t>U2-W3</t>
  </si>
  <si>
    <t>B1-W5</t>
  </si>
  <si>
    <t>A1-W3</t>
  </si>
  <si>
    <t>F3-W6</t>
  </si>
  <si>
    <t>G1-W3</t>
  </si>
  <si>
    <t>H1-W6</t>
  </si>
  <si>
    <t>D1-W6</t>
  </si>
  <si>
    <t>F3-W3</t>
  </si>
  <si>
    <t>H1-W3</t>
  </si>
  <si>
    <t>F1-W6</t>
  </si>
  <si>
    <t>F2-W3</t>
  </si>
  <si>
    <t>Lino/Textil</t>
  </si>
  <si>
    <t>Lino</t>
  </si>
  <si>
    <t>Beton</t>
  </si>
  <si>
    <t>Reinigungskraft (Sonderleistungen auf Regie) werktags</t>
  </si>
  <si>
    <t>Lager, Werkstatt</t>
  </si>
  <si>
    <t>J0,5</t>
  </si>
  <si>
    <t>Aufzug (Turnus siehe EG)</t>
  </si>
  <si>
    <t>Reinigungskraft Grundreinigung</t>
  </si>
  <si>
    <t>Baufeinreiniger/in (Regie) werktags</t>
  </si>
  <si>
    <t>Produktive Leistungen</t>
  </si>
  <si>
    <t>Std./Jahr UHR gesamt</t>
  </si>
  <si>
    <t>Std./Jahr GR gesamt</t>
  </si>
  <si>
    <t>Steinzeug/Fliesen</t>
  </si>
  <si>
    <t>Steinzeug/ Sauberlaufmatte</t>
  </si>
  <si>
    <t>nass reinigen und nachtrocknen</t>
  </si>
  <si>
    <t>vollflächig nass reinigen und nachtrocknen</t>
  </si>
  <si>
    <t>incl. Aus- und Einräumen bzw. Wegrücken beweglicher Gegenstände in den unten genannten Objekten</t>
  </si>
  <si>
    <t>Schutzschicht muß 3 x aufgetragen werden;
incl. Aus- und Einräumen bzw. Wegrücken beweglicher Gegenstände in den unten genannten Objekten; Verwendung von Hartbeschichtungen (Polymerdispersionen) nur nach Rücksprache mit dem Auftraggeber</t>
  </si>
  <si>
    <t>incl. Aus- und Einräumen bzw. Wegrücken beweglicher Gegenstände in den unten genannten Objekten; 
Das Aufbringen von Nässe ist nur soweit zulässig, als hierdurch keine Substanzschädigung auftritt</t>
  </si>
  <si>
    <t>A1-W2</t>
  </si>
  <si>
    <t>E1-W3</t>
  </si>
  <si>
    <t>E1-M1</t>
  </si>
  <si>
    <t>E2-W3</t>
  </si>
  <si>
    <t>F1-J4</t>
  </si>
  <si>
    <t>F3-M2</t>
  </si>
  <si>
    <t>Unterhalts-, Grund und Innenglasreinigung</t>
  </si>
  <si>
    <t>Hinweis: bei Nassreinigung von Boden und Mobiliar ist anschließend stets ein Nachtrocknen auszuführen, um Schlieren und Schmutzablagerungen zu vermeiden.</t>
  </si>
  <si>
    <t>Duschen</t>
  </si>
  <si>
    <t>Speiseräume</t>
  </si>
  <si>
    <t>Griffbereiche und Berührflächen reinigungstäglich reinigen</t>
  </si>
  <si>
    <t>Reinigungsflächen</t>
  </si>
  <si>
    <t>m² UHR gesamt</t>
  </si>
  <si>
    <t>m² GR gesamt</t>
  </si>
  <si>
    <t>Lager ohne Grundreinigung</t>
  </si>
  <si>
    <t xml:space="preserve">alle sonstigen Räume ohne Grundreinigung </t>
  </si>
  <si>
    <t>Technik ohne Grundreinigung</t>
  </si>
  <si>
    <t>alle sonstigen Räume ohne Grundreinigung</t>
  </si>
  <si>
    <t>Innenglasreinigung Kindergarten Am Rain</t>
  </si>
  <si>
    <t>5. Sonderarbeiten auf Stück-Basis</t>
  </si>
  <si>
    <t>Wichtiger Hinweis</t>
  </si>
  <si>
    <t>Nur zum Zwecke der Wertung; im Vertragsvollzug gilt § 11 des Gebäudereinigungs-vertrags</t>
  </si>
  <si>
    <t>Filterergebnis</t>
  </si>
  <si>
    <t>Jahres-faktor</t>
  </si>
  <si>
    <t>Wohnung</t>
  </si>
  <si>
    <t>Werkstatt</t>
  </si>
  <si>
    <t>Büro, Arbeitsraum, Besprechung</t>
  </si>
  <si>
    <t>nass reinigen (soweit vom Material her möglich) und nachtrocknen bzw. saugen</t>
  </si>
  <si>
    <t>Die Elemente sind allseitig frei von Staub. losen und haftenden Verschmutzungen und sind bestückt</t>
  </si>
  <si>
    <t>inkl. Ablagen, auch unterseitig</t>
  </si>
  <si>
    <t>Komponenten sind frei von losen und haftenden Verschmutzungen, Kalkablagerungen und Schlieren</t>
  </si>
  <si>
    <t>Die Elemente sind allseitig frei von losen und haftenden Verschmutzungen, Kalkablagerungen und Schlieren</t>
  </si>
  <si>
    <t>Komponenten sind frei von losen und haftenden Verschmutzungen, Streifen,Schlieren und Griffspuren</t>
  </si>
  <si>
    <t>Komponenten (nicht Tastatur) sind frei von  entfernbaren losen und haftenden Verschmutzungen, Streifen,Schlieren und Griffspuren</t>
  </si>
  <si>
    <t>Außenflächen, wenn Nassreinigung nicht möglich, Methode entsprechend anpassen</t>
  </si>
  <si>
    <t>Einrichtungsgegenstände sind frei von entfernbaren losen und haftenden Verschmutzungen, Griffspuren und Schlieren</t>
  </si>
  <si>
    <t>Handläufe und Geländer sind frei von losen und haftenden Verschmutzungen, Griffspuren und Schlieren</t>
  </si>
  <si>
    <t>Spritzbereiche sind frei von losen und haftenden Verschmutzungen, Kalkablagerungen sowie Schlieren und sind trocken</t>
  </si>
  <si>
    <t>Komponenten sind frei von losen und haftenden Verschmutzungen, Kalkablagerungen und Schlieren, gereingt und trocken</t>
  </si>
  <si>
    <t>Spiegel sind frei von losen und haftenden Verschmutzungen, Streifen und Schlieren</t>
  </si>
  <si>
    <t>Die Wandelemente sind frei von losen und haftenden Verschmutzungen und Griffspuren</t>
  </si>
  <si>
    <t>Abfallbehälter sind frei von losen und haftenden Verschmutzungen</t>
  </si>
  <si>
    <t>Methode je nach Beschaffenheit</t>
  </si>
  <si>
    <t>Gegenstände sind frei von losen und durch fachgerechtes Reinigen entfernbaren haftenden Verschmutzungen</t>
  </si>
  <si>
    <t>Heizkörper sind frei von losen und haftenden Verschmutzungen und Schlieren</t>
  </si>
  <si>
    <t>Feuerlöscher sind frei von losen und haftenden Verschmutzungen und Schlieren</t>
  </si>
  <si>
    <t>Oberflächen sind frei von losen und haftenden Verschmutzungen, Griffspuren und Schlieren</t>
  </si>
  <si>
    <t>Lampen sind frei von losen und haftenden Verschmutzungen, Griffspuren und Schlieren</t>
  </si>
  <si>
    <t>Sonstige Wandelemente sind frei von losen und haftenden Verschmutzungen, Griffspuren und Schlieren</t>
  </si>
  <si>
    <t>Sonstige Einrichtungsgegenstände sind frei von losen und haftenden Verschmutzungen, Griffspuren und Schlieren</t>
  </si>
  <si>
    <t xml:space="preserve">2-stufig nasswischen; Ausnahme: Holzböden nebelfeucht wischen; wo möglich maschinell reinigen
</t>
  </si>
  <si>
    <t xml:space="preserve">2-stufig nasswischen; Ausnahme: Holzböden nebelfeucht wischen
</t>
  </si>
  <si>
    <t>inkl. Ablagen, auch unterseitig; in der Lehrküche sind nur die Handwaschbecken zu reinigen.</t>
  </si>
  <si>
    <t>Chromteile regelmäßig entkalken; in der Lehrküche analog wie vorstehend</t>
  </si>
  <si>
    <t>Außenflächen; in der Lehrküche keine Herde und so. Kochelemente</t>
  </si>
  <si>
    <t>vereinbarte Std. p.Monat</t>
  </si>
  <si>
    <t>GR</t>
  </si>
  <si>
    <t>OL:</t>
  </si>
  <si>
    <t>VA:</t>
  </si>
  <si>
    <t>Objektleitung OL (unproduktiv)</t>
  </si>
  <si>
    <t>Vorarbeiter/Aufsicht VA (unproduktiv)</t>
  </si>
  <si>
    <t>Grundreinigung Grundschule Deisenhofen mit Hort</t>
  </si>
  <si>
    <t>Unterhaltsreinigung Grundschule Deisenhofen mit Hort</t>
  </si>
  <si>
    <t>Innenglasreinigung Grundschule Deisenhofen mit Hort</t>
  </si>
  <si>
    <t>N2-W5</t>
  </si>
  <si>
    <t>Preise</t>
  </si>
  <si>
    <r>
      <rPr>
        <b/>
        <sz val="9"/>
        <color rgb="FFFF0000"/>
        <rFont val="Calibri"/>
        <family val="2"/>
        <scheme val="minor"/>
      </rPr>
      <t>Hinweis:</t>
    </r>
    <r>
      <rPr>
        <sz val="9"/>
        <color rgb="FFFF0000"/>
        <rFont val="Calibri"/>
        <family val="2"/>
        <scheme val="minor"/>
      </rPr>
      <t xml:space="preserve"> In diesem Objekt gibt es verschiedene Schließzeiten und daher bei gleichem Turnus u.U. andere Reinigungstage pro Jahr: Die Schulteile (hellblau) sind an allen bayerischen Schulferien geschlossen, die Hort-/Mittagsbetreuungsteile (hellgrün) wie die anderen Horte dieses Loses. Ebenso beziehen sich die Leistungswerte der Spalte K je nach Zugehörigkeit des Raumes mal auf die Tabelle "Leistungwerte UHR Schulen" , mal auf die Tabelle "Leistungswerte UHR Kigas"</t>
    </r>
  </si>
  <si>
    <t>Hinweis: Analog zur Tabelle Kalk UHR beziehen sich die Leistungswerte der Spalte L je nach Zugehörigkeit des Raumes (Schule oder Hort-Bereich) mal auf die Tabelle "Leistungwerte GR Schulen", mal auf die Tabelle "Leistungswerte GR Kigas"</t>
  </si>
  <si>
    <t>Kindergarten</t>
  </si>
  <si>
    <t>Summe Innenglasreinigung</t>
  </si>
  <si>
    <r>
      <t xml:space="preserve">Das </t>
    </r>
    <r>
      <rPr>
        <b/>
        <sz val="12"/>
        <rFont val="Arial"/>
        <family val="2"/>
      </rPr>
      <t xml:space="preserve">Ein- und Ausräumen </t>
    </r>
    <r>
      <rPr>
        <sz val="12"/>
        <rFont val="Arial"/>
        <family val="2"/>
      </rPr>
      <t xml:space="preserve">beweglicher Gegenstände hat in folgenden Objekten der Reingungsdienstleister zu übernehmen: </t>
    </r>
    <r>
      <rPr>
        <b/>
        <sz val="12"/>
        <rFont val="Arial"/>
        <family val="2"/>
      </rPr>
      <t xml:space="preserve">GS Deisenhofen; </t>
    </r>
    <r>
      <rPr>
        <sz val="12"/>
        <rFont val="Arial"/>
        <family val="2"/>
      </rPr>
      <t>im Kindergarten Am Rain ist dies nicht durch den Reinigungsdienstleister zu erledigen.
Diese Gegenstände hat der Reinigungsdienstleister gemäß Punkt 1. zu reinigen.
Grundsätzlich werden bei einer beauftragten Grundreinigung des Bodens die Räume mit Ausnahme von fest eingebauten oder schweren Elementen (Einbauschränke etc.) komplett freigeräumt. Eine homogene Grundreinigung und Einpflege ist unbedingtes Ziel.</t>
    </r>
  </si>
  <si>
    <t>3. Grundreinigung</t>
  </si>
  <si>
    <t>4. Innenglasreinigung</t>
  </si>
  <si>
    <t>Leistungsverzeichnis Unterhaltsreinigung (UHR) Schulen</t>
  </si>
  <si>
    <t>Leistungsverzeichnis Unterhaltsreinigung (UHR) Kindergärten, Kindertagesstätten</t>
  </si>
  <si>
    <t>Leistungsverzeichnis - Übersicht der Einzelleistungen Grundreinigung (GR)</t>
  </si>
  <si>
    <t>Übersicht der Leistungswerte Unterhaltsreinigung (UHR) Schulen</t>
  </si>
  <si>
    <t>Übersicht der Leistungswerte Unterhaltsreinigung (UHR) Kindergärten, Kindertagesstätten</t>
  </si>
  <si>
    <t>Übersicht der Leistungswerte Grundreinigung (GR) Schulen</t>
  </si>
  <si>
    <t>Summe p.a.:</t>
  </si>
  <si>
    <t>Übersicht der Leistungswerte Grundreinigung (GR) Kindergärten, Kindertagesstätten</t>
  </si>
  <si>
    <r>
      <t xml:space="preserve">Legende Reinigungshäufigkeiten: 
</t>
    </r>
    <r>
      <rPr>
        <sz val="12"/>
        <rFont val="Arial"/>
        <family val="2"/>
      </rPr>
      <t>WX: X mal wöchentliche Leistung (z.B. W5 = 5 x wöchentlich)
MX: X mal monatliche Leistung (z.B. M1 = 1 x monatlich)
JX: X mal jährliche Leistung (z.B. J1 = 1 x jährlich)</t>
    </r>
    <r>
      <rPr>
        <b/>
        <sz val="12"/>
        <rFont val="Arial"/>
        <family val="2"/>
      </rPr>
      <t xml:space="preserve">
</t>
    </r>
  </si>
  <si>
    <t>Methode je nach Beschaffenheit,  außen in allen Etagen</t>
  </si>
  <si>
    <t>Schalttableaus / Aufzugsbedienfeld</t>
  </si>
  <si>
    <t>Hinweis: Es sind alle gelben Zellen auszufüllen. In den Spalten K bei den Tabellen "Kalk UHR…" und L bei den Tabellen "Kalk GR…" werden die Leistungswerte aus den Tabellen "Leistungswerte..." per Formel übernommen. Dieser Wert kann bei jedem Raum überschrieben werden, damit Sie (bzgl. der UHR und GR nur innerhalb der Bandbreiten) individuelle Leistungswerte eingeben können. 
In allen Tabellen dürfen nur gelbe Zellen ausgefüllt / verändert werden. Andere Zellen sowie die dort enthaltenen Formeln und Inhalte dürfen nicht verändert werden.</t>
  </si>
  <si>
    <t>grün: W6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</si>
</sst>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 #,##0.00\ &quot;€&quot;_-;\-* #,##0.00\ &quot;€&quot;_-;_-* &quot;-&quot;??\ &quot;€&quot;_-;_-@_-"/>
    <numFmt numFmtId="164" formatCode="_-* #,##0.00\ _€_-;\-* #,##0.00\ _€_-;_-* &quot;-&quot;??\ _€_-;_-@_-"/>
    <numFmt numFmtId="165" formatCode="d/m/yyyy;@"/>
    <numFmt numFmtId="166" formatCode="0.00&quot; m²&quot;"/>
    <numFmt numFmtId="167" formatCode="#,##0.00&quot; m²&quot;"/>
    <numFmt numFmtId="168" formatCode="#,##0.00\ &quot;€&quot;"/>
    <numFmt numFmtId="169" formatCode="0.000%"/>
    <numFmt numFmtId="170" formatCode="_-* #,##0.00\ [$€]_-;\-* #,##0.00\ [$€]_-;_-* &quot;-&quot;??\ [$€]_-;_-@_-"/>
    <numFmt numFmtId="171" formatCode="0.00&quot; EUR&quot;"/>
    <numFmt numFmtId="172" formatCode="0&quot; Abrechnungsmonate&quot;"/>
    <numFmt numFmtId="173" formatCode="_-* #,##0.00\ [$€-407]_-;\-* #,##0.00\ [$€-407]_-;_-* &quot;-&quot;??\ [$€-407]_-;_-@_-"/>
    <numFmt numFmtId="174" formatCode="#,##0.00&quot; m²/h&quot;"/>
    <numFmt numFmtId="175" formatCode="0.00&quot; m²/h&quot;"/>
    <numFmt numFmtId="176" formatCode="0.00\ &quot;Std.&quot;"/>
    <numFmt numFmtId="177" formatCode="_-* #,##0.00\ [$€-1]_-;\-* #,##0.00\ [$€-1]_-;_-* &quot;-&quot;??\ [$€-1]_-"/>
    <numFmt numFmtId="178" formatCode="0.0"/>
    <numFmt numFmtId="179" formatCode="0.000"/>
    <numFmt numFmtId="180" formatCode="#,##0.0000"/>
  </numFmts>
  <fonts count="75" x14ac:knownFonts="1">
    <font>
      <sz val="11"/>
      <color theme="1"/>
      <name val="Calibri"/>
      <family val="2"/>
      <scheme val="minor"/>
    </font>
    <font>
      <sz val="10"/>
      <name val="Arial"/>
      <family val="2"/>
    </font>
    <font>
      <b/>
      <sz val="16"/>
      <name val="Arial"/>
      <family val="2"/>
    </font>
    <font>
      <sz val="12"/>
      <name val="Arial"/>
      <family val="2"/>
    </font>
    <font>
      <b/>
      <sz val="14"/>
      <name val="Arial"/>
      <family val="2"/>
    </font>
    <font>
      <sz val="10"/>
      <name val="Verdana"/>
      <family val="2"/>
    </font>
    <font>
      <b/>
      <sz val="11"/>
      <name val="Arial"/>
      <family val="2"/>
    </font>
    <font>
      <b/>
      <sz val="10"/>
      <name val="Arial"/>
      <family val="2"/>
    </font>
    <font>
      <sz val="11"/>
      <name val="Arial"/>
      <family val="2"/>
    </font>
    <font>
      <sz val="11"/>
      <name val="Verdana"/>
      <family val="2"/>
    </font>
    <font>
      <b/>
      <sz val="11"/>
      <name val="Verdana"/>
      <family val="2"/>
    </font>
    <font>
      <b/>
      <sz val="10"/>
      <name val="Verdana"/>
      <family val="2"/>
    </font>
    <font>
      <b/>
      <sz val="12"/>
      <name val="Arial"/>
      <family val="2"/>
    </font>
    <font>
      <sz val="12"/>
      <color indexed="53"/>
      <name val="Arial"/>
      <family val="2"/>
    </font>
    <font>
      <sz val="12"/>
      <color indexed="23"/>
      <name val="Arial"/>
      <family val="2"/>
    </font>
    <font>
      <b/>
      <sz val="11"/>
      <color indexed="54"/>
      <name val="Arial"/>
      <family val="2"/>
    </font>
    <font>
      <b/>
      <sz val="11"/>
      <color indexed="62"/>
      <name val="Arial"/>
      <family val="2"/>
    </font>
    <font>
      <sz val="11"/>
      <color indexed="54"/>
      <name val="Arial"/>
      <family val="2"/>
    </font>
    <font>
      <sz val="11"/>
      <color indexed="62"/>
      <name val="Arial"/>
      <family val="2"/>
    </font>
    <font>
      <sz val="10"/>
      <color indexed="62"/>
      <name val="Arial"/>
      <family val="2"/>
    </font>
    <font>
      <sz val="10"/>
      <color indexed="54"/>
      <name val="Arial"/>
      <family val="2"/>
    </font>
    <font>
      <b/>
      <sz val="10"/>
      <color indexed="9"/>
      <name val="Verdana"/>
      <family val="2"/>
    </font>
    <font>
      <b/>
      <sz val="12"/>
      <color indexed="18"/>
      <name val="Arial"/>
      <family val="2"/>
    </font>
    <font>
      <sz val="12"/>
      <color indexed="18"/>
      <name val="Arial"/>
      <family val="2"/>
    </font>
    <font>
      <sz val="10"/>
      <color indexed="8"/>
      <name val="Arial"/>
      <family val="2"/>
    </font>
    <font>
      <b/>
      <sz val="10"/>
      <color theme="0"/>
      <name val="Arial"/>
      <family val="2"/>
    </font>
    <font>
      <b/>
      <sz val="12"/>
      <color theme="0"/>
      <name val="Arial"/>
      <family val="2"/>
    </font>
    <font>
      <sz val="10"/>
      <color theme="0"/>
      <name val="Arial"/>
      <family val="2"/>
    </font>
    <font>
      <sz val="12"/>
      <color theme="0"/>
      <name val="Arial"/>
      <family val="2"/>
    </font>
    <font>
      <b/>
      <sz val="11"/>
      <color rgb="FF002060"/>
      <name val="Arial"/>
      <family val="2"/>
    </font>
    <font>
      <b/>
      <sz val="10"/>
      <color theme="0"/>
      <name val="Verdana"/>
      <family val="2"/>
    </font>
    <font>
      <b/>
      <sz val="11"/>
      <color rgb="FFFF0000"/>
      <name val="Arial"/>
      <family val="2"/>
    </font>
    <font>
      <sz val="11"/>
      <color theme="1"/>
      <name val="Calibri"/>
      <family val="2"/>
      <scheme val="minor"/>
    </font>
    <font>
      <sz val="11"/>
      <name val="Arial"/>
      <family val="2"/>
      <charset val="204"/>
    </font>
    <font>
      <b/>
      <sz val="11"/>
      <name val="Arial"/>
      <family val="2"/>
      <charset val="204"/>
    </font>
    <font>
      <b/>
      <sz val="11"/>
      <color indexed="56"/>
      <name val="Arial"/>
      <family val="2"/>
    </font>
    <font>
      <sz val="11"/>
      <color indexed="8"/>
      <name val="Calibri"/>
      <family val="2"/>
    </font>
    <font>
      <sz val="10"/>
      <name val="MS Sans Serif"/>
      <family val="2"/>
    </font>
    <font>
      <sz val="10"/>
      <color theme="1"/>
      <name val="Arial"/>
      <family val="2"/>
    </font>
    <font>
      <sz val="10"/>
      <name val="Arial"/>
      <family val="2"/>
    </font>
    <font>
      <b/>
      <sz val="18"/>
      <name val="Arial"/>
      <family val="2"/>
    </font>
    <font>
      <sz val="20"/>
      <name val="Arial"/>
      <family val="2"/>
    </font>
    <font>
      <sz val="14"/>
      <name val="Arial"/>
      <family val="2"/>
    </font>
    <font>
      <sz val="10"/>
      <color rgb="FFFF0000"/>
      <name val="Arial"/>
      <family val="2"/>
    </font>
    <font>
      <sz val="11"/>
      <color indexed="9"/>
      <name val="Calibri"/>
      <family val="2"/>
    </font>
    <font>
      <b/>
      <sz val="11"/>
      <color theme="0"/>
      <name val="Arial"/>
      <family val="2"/>
    </font>
    <font>
      <sz val="10"/>
      <color indexed="8"/>
      <name val="MS Sans Serif"/>
      <family val="2"/>
    </font>
    <font>
      <sz val="11"/>
      <color rgb="FFFF0000"/>
      <name val="Verdana"/>
      <family val="2"/>
    </font>
    <font>
      <sz val="8"/>
      <color rgb="FFFF0000"/>
      <name val="Arial"/>
      <family val="2"/>
    </font>
    <font>
      <b/>
      <sz val="12"/>
      <color rgb="FFFF0000"/>
      <name val="Verdana"/>
      <family val="2"/>
    </font>
    <font>
      <sz val="8"/>
      <name val="Calibri"/>
      <family val="2"/>
      <scheme val="minor"/>
    </font>
    <font>
      <b/>
      <sz val="11"/>
      <color indexed="9"/>
      <name val="Arial"/>
      <family val="2"/>
    </font>
    <font>
      <sz val="10"/>
      <name val="Tahoma"/>
      <family val="2"/>
    </font>
    <font>
      <b/>
      <sz val="12"/>
      <color indexed="56"/>
      <name val="Arial"/>
      <family val="2"/>
    </font>
    <font>
      <b/>
      <sz val="12"/>
      <color indexed="9"/>
      <name val="Arial"/>
      <family val="2"/>
    </font>
    <font>
      <b/>
      <sz val="10"/>
      <color indexed="54"/>
      <name val="Tahoma"/>
      <family val="2"/>
    </font>
    <font>
      <sz val="10"/>
      <color indexed="54"/>
      <name val="Verdana"/>
      <family val="2"/>
    </font>
    <font>
      <sz val="12"/>
      <color indexed="54"/>
      <name val="Arial"/>
      <family val="2"/>
    </font>
    <font>
      <sz val="12"/>
      <color indexed="10"/>
      <name val="Arial"/>
      <family val="2"/>
    </font>
    <font>
      <sz val="12"/>
      <name val="Times New Roman"/>
      <family val="1"/>
    </font>
    <font>
      <sz val="9"/>
      <name val="Arial"/>
      <family val="2"/>
    </font>
    <font>
      <b/>
      <sz val="9"/>
      <name val="Arial"/>
      <family val="2"/>
    </font>
    <font>
      <sz val="22"/>
      <color rgb="FFFF0000"/>
      <name val="Arial"/>
      <family val="2"/>
    </font>
    <font>
      <sz val="11"/>
      <color rgb="FFFF0000"/>
      <name val="Calibri"/>
      <family val="2"/>
      <scheme val="minor"/>
    </font>
    <font>
      <sz val="9"/>
      <color rgb="FFFF0000"/>
      <name val="Calibri"/>
      <family val="2"/>
      <scheme val="minor"/>
    </font>
    <font>
      <b/>
      <sz val="9"/>
      <color rgb="FFFF0000"/>
      <name val="Calibri"/>
      <family val="2"/>
      <scheme val="minor"/>
    </font>
    <font>
      <b/>
      <sz val="9"/>
      <color indexed="54"/>
      <name val="Arial"/>
      <family val="2"/>
    </font>
    <font>
      <b/>
      <sz val="12"/>
      <color rgb="FFFF0000"/>
      <name val="Arial"/>
      <family val="2"/>
    </font>
    <font>
      <sz val="11"/>
      <color theme="0"/>
      <name val="Verdana"/>
      <family val="2"/>
    </font>
    <font>
      <sz val="11"/>
      <color theme="0"/>
      <name val="Arial"/>
      <family val="2"/>
    </font>
    <font>
      <sz val="10"/>
      <color theme="0"/>
      <name val="Verdana"/>
      <family val="2"/>
    </font>
    <font>
      <b/>
      <sz val="10"/>
      <color theme="0" tint="-0.14999847407452621"/>
      <name val="Verdana"/>
      <family val="2"/>
    </font>
    <font>
      <b/>
      <sz val="10"/>
      <color rgb="FFFF0000"/>
      <name val="Arial"/>
      <family val="2"/>
    </font>
    <font>
      <b/>
      <sz val="9"/>
      <color rgb="FFFF0000"/>
      <name val="Arial"/>
      <family val="2"/>
    </font>
    <font>
      <sz val="22"/>
      <color rgb="FF002060"/>
      <name val="Arial"/>
      <family val="2"/>
    </font>
  </fonts>
  <fills count="3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rgb="FFFFFF00"/>
        <bgColor indexed="64"/>
      </patternFill>
    </fill>
    <fill>
      <patternFill patternType="solid">
        <fgColor rgb="FF00206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4" tint="0.39997558519241921"/>
        <bgColor indexed="64"/>
      </patternFill>
    </fill>
    <fill>
      <patternFill patternType="solid">
        <fgColor indexed="56"/>
        <bgColor indexed="64"/>
      </patternFill>
    </fill>
    <fill>
      <patternFill patternType="solid">
        <fgColor theme="0" tint="-0.249977111117893"/>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theme="6"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777777"/>
        <bgColor indexed="64"/>
      </patternFill>
    </fill>
    <fill>
      <patternFill patternType="solid">
        <fgColor rgb="FF92D050"/>
        <bgColor indexed="64"/>
      </patternFill>
    </fill>
    <fill>
      <patternFill patternType="solid">
        <fgColor theme="3" tint="0.79998168889431442"/>
        <bgColor indexed="64"/>
      </patternFill>
    </fill>
  </fills>
  <borders count="106">
    <border>
      <left/>
      <right/>
      <top/>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3"/>
      </right>
      <top style="thin">
        <color indexed="63"/>
      </top>
      <bottom style="thin">
        <color indexed="63"/>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top style="medium">
        <color rgb="FF002060"/>
      </top>
      <bottom/>
      <diagonal/>
    </border>
    <border>
      <left style="medium">
        <color rgb="FF002060"/>
      </left>
      <right/>
      <top style="medium">
        <color rgb="FF002060"/>
      </top>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right/>
      <top/>
      <bottom style="medium">
        <color rgb="FF002060"/>
      </bottom>
      <diagonal/>
    </border>
    <border>
      <left style="thin">
        <color rgb="FF002060"/>
      </left>
      <right style="thin">
        <color rgb="FF002060"/>
      </right>
      <top style="thin">
        <color rgb="FF002060"/>
      </top>
      <bottom/>
      <diagonal/>
    </border>
    <border>
      <left style="thin">
        <color rgb="FF002060"/>
      </left>
      <right style="thin">
        <color rgb="FF002060"/>
      </right>
      <top/>
      <bottom style="thin">
        <color rgb="FF002060"/>
      </bottom>
      <diagonal/>
    </border>
    <border>
      <left style="thin">
        <color theme="0"/>
      </left>
      <right style="thin">
        <color theme="0"/>
      </right>
      <top style="thin">
        <color indexed="64"/>
      </top>
      <bottom style="thin">
        <color theme="0"/>
      </bottom>
      <diagonal/>
    </border>
    <border>
      <left/>
      <right style="thin">
        <color theme="0"/>
      </right>
      <top style="thin">
        <color indexed="64"/>
      </top>
      <bottom style="thin">
        <color indexed="64"/>
      </bottom>
      <diagonal/>
    </border>
    <border>
      <left/>
      <right style="thin">
        <color rgb="FF002060"/>
      </right>
      <top style="medium">
        <color indexed="64"/>
      </top>
      <bottom/>
      <diagonal/>
    </border>
    <border>
      <left/>
      <right style="thin">
        <color rgb="FF002060"/>
      </right>
      <top/>
      <bottom/>
      <diagonal/>
    </border>
    <border>
      <left/>
      <right style="thin">
        <color rgb="FF002060"/>
      </right>
      <top/>
      <bottom style="thin">
        <color rgb="FF002060"/>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rgb="FF002060"/>
      </right>
      <top/>
      <bottom style="medium">
        <color rgb="FF002060"/>
      </bottom>
      <diagonal/>
    </border>
    <border>
      <left style="thin">
        <color rgb="FF002060"/>
      </left>
      <right/>
      <top style="medium">
        <color rgb="FF002060"/>
      </top>
      <bottom style="medium">
        <color rgb="FF002060"/>
      </bottom>
      <diagonal/>
    </border>
    <border>
      <left style="thin">
        <color rgb="FF002060"/>
      </left>
      <right style="thin">
        <color rgb="FF002060"/>
      </right>
      <top style="medium">
        <color rgb="FF002060"/>
      </top>
      <bottom style="medium">
        <color rgb="FF002060"/>
      </bottom>
      <diagonal/>
    </border>
    <border>
      <left/>
      <right style="thin">
        <color rgb="FF002060"/>
      </right>
      <top style="medium">
        <color rgb="FF002060"/>
      </top>
      <bottom style="medium">
        <color rgb="FF002060"/>
      </bottom>
      <diagonal/>
    </border>
    <border>
      <left style="thin">
        <color rgb="FF002060"/>
      </left>
      <right style="thin">
        <color indexed="64"/>
      </right>
      <top style="medium">
        <color rgb="FF002060"/>
      </top>
      <bottom style="medium">
        <color rgb="FF002060"/>
      </bottom>
      <diagonal/>
    </border>
    <border>
      <left/>
      <right style="medium">
        <color theme="0"/>
      </right>
      <top style="medium">
        <color rgb="FF002060"/>
      </top>
      <bottom/>
      <diagonal/>
    </border>
    <border>
      <left style="medium">
        <color theme="0"/>
      </left>
      <right style="medium">
        <color theme="0"/>
      </right>
      <top style="medium">
        <color rgb="FF002060"/>
      </top>
      <bottom/>
      <diagonal/>
    </border>
    <border>
      <left/>
      <right style="thin">
        <color indexed="64"/>
      </right>
      <top style="medium">
        <color rgb="FF002060"/>
      </top>
      <bottom/>
      <diagonal/>
    </border>
    <border>
      <left/>
      <right style="medium">
        <color theme="0"/>
      </right>
      <top style="medium">
        <color theme="0"/>
      </top>
      <bottom style="medium">
        <color rgb="FF002060"/>
      </bottom>
      <diagonal/>
    </border>
    <border>
      <left style="medium">
        <color theme="0"/>
      </left>
      <right style="medium">
        <color theme="0"/>
      </right>
      <top style="medium">
        <color theme="0"/>
      </top>
      <bottom style="medium">
        <color rgb="FF002060"/>
      </bottom>
      <diagonal/>
    </border>
    <border>
      <left/>
      <right style="thin">
        <color indexed="64"/>
      </right>
      <top style="medium">
        <color theme="0"/>
      </top>
      <bottom style="medium">
        <color rgb="FF002060"/>
      </bottom>
      <diagonal/>
    </border>
    <border>
      <left/>
      <right style="thin">
        <color indexed="64"/>
      </right>
      <top style="medium">
        <color rgb="FF002060"/>
      </top>
      <bottom style="medium">
        <color rgb="FF002060"/>
      </bottom>
      <diagonal/>
    </border>
    <border>
      <left/>
      <right style="thin">
        <color indexed="64"/>
      </right>
      <top/>
      <bottom style="thin">
        <color rgb="FF002060"/>
      </bottom>
      <diagonal/>
    </border>
    <border>
      <left/>
      <right style="thin">
        <color indexed="64"/>
      </right>
      <top style="thin">
        <color rgb="FF002060"/>
      </top>
      <bottom style="thin">
        <color rgb="FF002060"/>
      </bottom>
      <diagonal/>
    </border>
    <border>
      <left style="thin">
        <color indexed="64"/>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indexed="64"/>
      </left>
      <right style="thin">
        <color indexed="64"/>
      </right>
      <top style="thin">
        <color rgb="FF002060"/>
      </top>
      <bottom style="medium">
        <color rgb="FF002060"/>
      </bottom>
      <diagonal/>
    </border>
    <border>
      <left/>
      <right style="thin">
        <color indexed="64"/>
      </right>
      <top/>
      <bottom style="medium">
        <color rgb="FF002060"/>
      </bottom>
      <diagonal/>
    </border>
    <border>
      <left/>
      <right style="thin">
        <color rgb="FF002060"/>
      </right>
      <top style="medium">
        <color rgb="FF002060"/>
      </top>
      <bottom style="thin">
        <color rgb="FF002060"/>
      </bottom>
      <diagonal/>
    </border>
    <border>
      <left/>
      <right style="thin">
        <color indexed="64"/>
      </right>
      <top style="medium">
        <color rgb="FF002060"/>
      </top>
      <bottom style="thin">
        <color rgb="FF002060"/>
      </bottom>
      <diagonal/>
    </border>
    <border>
      <left style="thin">
        <color rgb="FF002060"/>
      </left>
      <right style="thin">
        <color indexed="64"/>
      </right>
      <top style="thin">
        <color rgb="FF002060"/>
      </top>
      <bottom style="thin">
        <color rgb="FF002060"/>
      </bottom>
      <diagonal/>
    </border>
    <border>
      <left/>
      <right style="thin">
        <color rgb="FF002060"/>
      </right>
      <top style="thin">
        <color rgb="FF002060"/>
      </top>
      <bottom/>
      <diagonal/>
    </border>
    <border>
      <left/>
      <right style="thin">
        <color indexed="64"/>
      </right>
      <top style="thin">
        <color rgb="FF002060"/>
      </top>
      <bottom/>
      <diagonal/>
    </border>
    <border>
      <left style="thin">
        <color rgb="FF002060"/>
      </left>
      <right style="medium">
        <color indexed="64"/>
      </right>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theme="0"/>
      </left>
      <right/>
      <top style="medium">
        <color rgb="FF002060"/>
      </top>
      <bottom/>
      <diagonal/>
    </border>
    <border>
      <left style="thick">
        <color rgb="FF002060"/>
      </left>
      <right/>
      <top/>
      <bottom/>
      <diagonal/>
    </border>
    <border>
      <left/>
      <right style="thick">
        <color rgb="FF002060"/>
      </right>
      <top/>
      <bottom/>
      <diagonal/>
    </border>
    <border>
      <left style="thick">
        <color rgb="FF002060"/>
      </left>
      <right/>
      <top style="medium">
        <color indexed="64"/>
      </top>
      <bottom style="medium">
        <color indexed="64"/>
      </bottom>
      <diagonal/>
    </border>
    <border>
      <left/>
      <right/>
      <top/>
      <bottom style="thick">
        <color rgb="FF002060"/>
      </bottom>
      <diagonal/>
    </border>
    <border>
      <left/>
      <right style="thick">
        <color rgb="FF002060"/>
      </right>
      <top/>
      <bottom style="thick">
        <color rgb="FF002060"/>
      </bottom>
      <diagonal/>
    </border>
    <border>
      <left style="medium">
        <color indexed="56"/>
      </left>
      <right/>
      <top style="medium">
        <color indexed="56"/>
      </top>
      <bottom style="medium">
        <color indexed="56"/>
      </bottom>
      <diagonal/>
    </border>
    <border>
      <left/>
      <right/>
      <top style="dashed">
        <color indexed="54"/>
      </top>
      <bottom style="dashed">
        <color indexed="54"/>
      </bottom>
      <diagonal/>
    </border>
    <border>
      <left/>
      <right style="thin">
        <color indexed="54"/>
      </right>
      <top style="dashed">
        <color indexed="54"/>
      </top>
      <bottom style="dashed">
        <color indexed="54"/>
      </bottom>
      <diagonal/>
    </border>
    <border>
      <left style="thin">
        <color indexed="54"/>
      </left>
      <right style="thin">
        <color indexed="54"/>
      </right>
      <top style="dashed">
        <color indexed="54"/>
      </top>
      <bottom style="dashed">
        <color indexed="54"/>
      </bottom>
      <diagonal/>
    </border>
    <border>
      <left style="thin">
        <color indexed="54"/>
      </left>
      <right/>
      <top style="medium">
        <color indexed="56"/>
      </top>
      <bottom/>
      <diagonal/>
    </border>
    <border>
      <left style="thin">
        <color indexed="54"/>
      </left>
      <right/>
      <top/>
      <bottom/>
      <diagonal/>
    </border>
    <border>
      <left style="thin">
        <color indexed="54"/>
      </left>
      <right/>
      <top/>
      <bottom style="dashed">
        <color indexed="54"/>
      </bottom>
      <diagonal/>
    </border>
    <border>
      <left style="thin">
        <color indexed="54"/>
      </left>
      <right/>
      <top style="dashed">
        <color indexed="54"/>
      </top>
      <bottom style="dashed">
        <color indexed="54"/>
      </bottom>
      <diagonal/>
    </border>
    <border>
      <left/>
      <right style="thin">
        <color indexed="54"/>
      </right>
      <top style="dashed">
        <color indexed="54"/>
      </top>
      <bottom/>
      <diagonal/>
    </border>
    <border>
      <left style="thin">
        <color indexed="54"/>
      </left>
      <right style="thin">
        <color indexed="54"/>
      </right>
      <top style="dashed">
        <color indexed="54"/>
      </top>
      <bottom/>
      <diagonal/>
    </border>
    <border>
      <left style="thin">
        <color indexed="54"/>
      </left>
      <right/>
      <top style="dashed">
        <color indexed="54"/>
      </top>
      <bottom/>
      <diagonal/>
    </border>
    <border>
      <left/>
      <right/>
      <top/>
      <bottom style="dashed">
        <color indexed="54"/>
      </bottom>
      <diagonal/>
    </border>
    <border>
      <left/>
      <right/>
      <top style="dashed">
        <color indexed="54"/>
      </top>
      <bottom/>
      <diagonal/>
    </border>
    <border>
      <left/>
      <right style="thin">
        <color indexed="54"/>
      </right>
      <top/>
      <bottom style="dashed">
        <color indexed="54"/>
      </bottom>
      <diagonal/>
    </border>
    <border>
      <left style="thin">
        <color indexed="54"/>
      </left>
      <right style="thin">
        <color indexed="54"/>
      </right>
      <top/>
      <bottom style="dashed">
        <color indexed="5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theme="0"/>
      </left>
      <right/>
      <top style="thin">
        <color indexed="64"/>
      </top>
      <bottom style="thin">
        <color theme="0"/>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right style="thin">
        <color rgb="FF002060"/>
      </right>
      <top/>
      <bottom style="medium">
        <color indexed="64"/>
      </bottom>
      <diagonal/>
    </border>
    <border>
      <left style="medium">
        <color rgb="FF002060"/>
      </left>
      <right/>
      <top/>
      <bottom style="medium">
        <color indexed="64"/>
      </bottom>
      <diagonal/>
    </border>
    <border>
      <left/>
      <right style="medium">
        <color rgb="FF002060"/>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2060"/>
      </top>
      <bottom style="medium">
        <color indexed="64"/>
      </bottom>
      <diagonal/>
    </border>
    <border>
      <left/>
      <right style="thin">
        <color indexed="64"/>
      </right>
      <top style="thin">
        <color rgb="FF002060"/>
      </top>
      <bottom style="medium">
        <color indexed="64"/>
      </bottom>
      <diagonal/>
    </border>
    <border>
      <left style="thin">
        <color rgb="FF002060"/>
      </left>
      <right style="thin">
        <color rgb="FF002060"/>
      </right>
      <top style="thin">
        <color rgb="FF002060"/>
      </top>
      <bottom style="medium">
        <color indexed="64"/>
      </bottom>
      <diagonal/>
    </border>
    <border>
      <left style="thin">
        <color indexed="63"/>
      </left>
      <right/>
      <top style="thin">
        <color indexed="63"/>
      </top>
      <bottom style="thin">
        <color indexed="63"/>
      </bottom>
      <diagonal/>
    </border>
  </borders>
  <cellStyleXfs count="221">
    <xf numFmtId="0" fontId="0"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36" fillId="0" borderId="0" applyFont="0" applyFill="0" applyBorder="0" applyAlignment="0" applyProtection="0"/>
    <xf numFmtId="9" fontId="37" fillId="0" borderId="0" applyFont="0" applyFill="0" applyBorder="0" applyAlignment="0" applyProtection="0"/>
    <xf numFmtId="0" fontId="1" fillId="0" borderId="0" applyNumberFormat="0" applyFont="0" applyFill="0" applyBorder="0" applyAlignment="0" applyProtection="0">
      <alignment vertical="top"/>
    </xf>
    <xf numFmtId="0" fontId="32" fillId="0" borderId="0"/>
    <xf numFmtId="0" fontId="1" fillId="0" borderId="0"/>
    <xf numFmtId="0" fontId="38" fillId="0" borderId="0"/>
    <xf numFmtId="44" fontId="32" fillId="0" borderId="0" applyFont="0" applyFill="0" applyBorder="0" applyAlignment="0" applyProtection="0"/>
    <xf numFmtId="0" fontId="39" fillId="0" borderId="0"/>
    <xf numFmtId="0" fontId="1" fillId="0" borderId="0"/>
    <xf numFmtId="177" fontId="1" fillId="0" borderId="0" applyFont="0" applyFill="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6" borderId="0" applyNumberFormat="0" applyBorder="0" applyAlignment="0" applyProtection="0"/>
    <xf numFmtId="0" fontId="36" fillId="18" borderId="0" applyNumberFormat="0" applyBorder="0" applyAlignment="0" applyProtection="0"/>
    <xf numFmtId="0" fontId="36" fillId="15"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6" fillId="18" borderId="0" applyNumberFormat="0" applyBorder="0" applyAlignment="0" applyProtection="0"/>
    <xf numFmtId="0" fontId="36" fillId="16" borderId="0" applyNumberFormat="0" applyBorder="0" applyAlignment="0" applyProtection="0"/>
    <xf numFmtId="0" fontId="44" fillId="18"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0" borderId="0" applyNumberFormat="0" applyBorder="0" applyAlignment="0" applyProtection="0"/>
    <xf numFmtId="0" fontId="44" fillId="18" borderId="0" applyNumberFormat="0" applyBorder="0" applyAlignment="0" applyProtection="0"/>
    <xf numFmtId="0" fontId="44" fillId="15" borderId="0" applyNumberFormat="0" applyBorder="0" applyAlignment="0" applyProtection="0"/>
    <xf numFmtId="0" fontId="1" fillId="0" borderId="0"/>
    <xf numFmtId="0" fontId="1" fillId="0" borderId="0"/>
    <xf numFmtId="9" fontId="32" fillId="0" borderId="0" applyFont="0" applyFill="0" applyBorder="0" applyAlignment="0" applyProtection="0"/>
    <xf numFmtId="173" fontId="1" fillId="0" borderId="0"/>
    <xf numFmtId="0" fontId="1" fillId="0" borderId="0"/>
    <xf numFmtId="9" fontId="46" fillId="0" borderId="0" applyFont="0" applyFill="0" applyBorder="0" applyAlignment="0" applyProtection="0"/>
    <xf numFmtId="0" fontId="32" fillId="0" borderId="0"/>
    <xf numFmtId="44" fontId="32" fillId="0" borderId="0" applyFont="0" applyFill="0" applyBorder="0" applyAlignment="0" applyProtection="0"/>
    <xf numFmtId="9"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0" fontId="38" fillId="0" borderId="0"/>
    <xf numFmtId="44"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676">
    <xf numFmtId="0" fontId="0" fillId="0" borderId="0" xfId="0"/>
    <xf numFmtId="0" fontId="1" fillId="0" borderId="0" xfId="8"/>
    <xf numFmtId="0" fontId="3" fillId="0" borderId="0" xfId="8" applyFont="1"/>
    <xf numFmtId="14" fontId="3" fillId="5" borderId="0" xfId="8" applyNumberFormat="1" applyFont="1" applyFill="1" applyAlignment="1" applyProtection="1">
      <alignment horizontal="left"/>
      <protection locked="0"/>
    </xf>
    <xf numFmtId="0" fontId="3" fillId="0" borderId="0" xfId="8" applyFont="1" applyAlignment="1">
      <alignment vertical="center"/>
    </xf>
    <xf numFmtId="14" fontId="3" fillId="0" borderId="0" xfId="8" applyNumberFormat="1" applyFont="1"/>
    <xf numFmtId="0" fontId="3" fillId="0" borderId="0" xfId="8" applyFont="1" applyAlignment="1">
      <alignment vertical="top"/>
    </xf>
    <xf numFmtId="0" fontId="3" fillId="6" borderId="0" xfId="8" applyFont="1" applyFill="1"/>
    <xf numFmtId="0" fontId="5" fillId="0" borderId="0" xfId="9" applyFont="1"/>
    <xf numFmtId="0" fontId="1" fillId="0" borderId="0" xfId="9"/>
    <xf numFmtId="44" fontId="1" fillId="0" borderId="0" xfId="3" applyFont="1" applyProtection="1"/>
    <xf numFmtId="0" fontId="6" fillId="0" borderId="0" xfId="9" applyFont="1"/>
    <xf numFmtId="0" fontId="7" fillId="0" borderId="0" xfId="9" applyFont="1" applyAlignment="1">
      <alignment horizontal="right"/>
    </xf>
    <xf numFmtId="44" fontId="1" fillId="0" borderId="2" xfId="3" applyFont="1" applyBorder="1" applyProtection="1"/>
    <xf numFmtId="0" fontId="7" fillId="0" borderId="0" xfId="9" applyFont="1"/>
    <xf numFmtId="165" fontId="1" fillId="0" borderId="3" xfId="9" applyNumberFormat="1" applyBorder="1"/>
    <xf numFmtId="44" fontId="1" fillId="0" borderId="0" xfId="3" applyFont="1" applyBorder="1" applyProtection="1"/>
    <xf numFmtId="0" fontId="8" fillId="0" borderId="0" xfId="9" applyFont="1"/>
    <xf numFmtId="0" fontId="6" fillId="7" borderId="4" xfId="11" applyFont="1" applyFill="1" applyBorder="1" applyAlignment="1">
      <alignment horizontal="center" vertical="center" wrapText="1"/>
    </xf>
    <xf numFmtId="44" fontId="8" fillId="0" borderId="2" xfId="3" applyFont="1" applyFill="1" applyBorder="1" applyProtection="1"/>
    <xf numFmtId="0" fontId="9" fillId="0" borderId="0" xfId="9" applyFont="1"/>
    <xf numFmtId="0" fontId="10" fillId="0" borderId="0" xfId="9" applyFont="1"/>
    <xf numFmtId="0" fontId="1" fillId="0" borderId="5" xfId="9" applyBorder="1"/>
    <xf numFmtId="0" fontId="1" fillId="0" borderId="6" xfId="9" applyBorder="1"/>
    <xf numFmtId="0" fontId="25" fillId="6" borderId="5" xfId="9" applyFont="1" applyFill="1" applyBorder="1"/>
    <xf numFmtId="0" fontId="26" fillId="6" borderId="0" xfId="9" applyFont="1" applyFill="1"/>
    <xf numFmtId="0" fontId="25" fillId="6" borderId="0" xfId="9" applyFont="1" applyFill="1"/>
    <xf numFmtId="168" fontId="26" fillId="6" borderId="7" xfId="3" applyNumberFormat="1" applyFont="1" applyFill="1" applyBorder="1" applyProtection="1"/>
    <xf numFmtId="0" fontId="7" fillId="0" borderId="6" xfId="9" applyFont="1" applyBorder="1"/>
    <xf numFmtId="0" fontId="11" fillId="0" borderId="0" xfId="9" applyFont="1"/>
    <xf numFmtId="0" fontId="3" fillId="0" borderId="0" xfId="9" applyFont="1"/>
    <xf numFmtId="0" fontId="12" fillId="0" borderId="0" xfId="9" applyFont="1"/>
    <xf numFmtId="0" fontId="27" fillId="6" borderId="5" xfId="9" applyFont="1" applyFill="1" applyBorder="1"/>
    <xf numFmtId="0" fontId="28" fillId="6" borderId="0" xfId="9" applyFont="1" applyFill="1"/>
    <xf numFmtId="0" fontId="27" fillId="6" borderId="0" xfId="9" applyFont="1" applyFill="1"/>
    <xf numFmtId="0" fontId="1" fillId="0" borderId="8" xfId="9" applyBorder="1"/>
    <xf numFmtId="0" fontId="1" fillId="0" borderId="7" xfId="9" applyBorder="1"/>
    <xf numFmtId="44" fontId="1" fillId="0" borderId="7" xfId="3" applyFont="1" applyBorder="1" applyProtection="1"/>
    <xf numFmtId="0" fontId="1" fillId="0" borderId="9" xfId="9" applyBorder="1"/>
    <xf numFmtId="0" fontId="26" fillId="6" borderId="0" xfId="9" applyFont="1" applyFill="1" applyAlignment="1">
      <alignment horizontal="center"/>
    </xf>
    <xf numFmtId="44" fontId="1" fillId="3" borderId="2" xfId="3" applyFont="1" applyFill="1" applyBorder="1" applyProtection="1">
      <protection locked="0"/>
    </xf>
    <xf numFmtId="0" fontId="1" fillId="0" borderId="0" xfId="9" applyAlignment="1">
      <alignment vertical="center" wrapText="1"/>
    </xf>
    <xf numFmtId="0" fontId="8" fillId="0" borderId="0" xfId="9" applyFont="1" applyAlignment="1">
      <alignment vertical="center" wrapText="1"/>
    </xf>
    <xf numFmtId="0" fontId="12" fillId="0" borderId="0" xfId="9" applyFont="1" applyAlignment="1">
      <alignment vertical="center" wrapText="1"/>
    </xf>
    <xf numFmtId="0" fontId="26" fillId="6" borderId="0" xfId="9" applyFont="1" applyFill="1" applyAlignment="1">
      <alignment horizontal="center" vertical="center" wrapText="1"/>
    </xf>
    <xf numFmtId="0" fontId="5" fillId="0" borderId="0" xfId="9" applyFont="1" applyAlignment="1">
      <alignment vertical="center" wrapText="1"/>
    </xf>
    <xf numFmtId="1" fontId="1" fillId="3" borderId="2" xfId="9" applyNumberFormat="1" applyFill="1" applyBorder="1" applyAlignment="1" applyProtection="1">
      <alignment horizontal="center"/>
      <protection locked="0"/>
    </xf>
    <xf numFmtId="0" fontId="12" fillId="7" borderId="10" xfId="9" applyFont="1" applyFill="1" applyBorder="1"/>
    <xf numFmtId="0" fontId="1" fillId="7" borderId="3" xfId="9" applyFill="1" applyBorder="1"/>
    <xf numFmtId="0" fontId="12" fillId="7" borderId="4" xfId="9" applyFont="1" applyFill="1" applyBorder="1" applyAlignment="1">
      <alignment horizontal="center"/>
    </xf>
    <xf numFmtId="44" fontId="5" fillId="0" borderId="0" xfId="3" applyFont="1" applyProtection="1"/>
    <xf numFmtId="0" fontId="2" fillId="0" borderId="0" xfId="8" applyFont="1" applyAlignment="1">
      <alignment vertical="center"/>
    </xf>
    <xf numFmtId="0" fontId="5" fillId="0" borderId="0" xfId="8" applyFont="1"/>
    <xf numFmtId="0" fontId="9" fillId="0" borderId="0" xfId="8" applyFont="1" applyAlignment="1">
      <alignment vertical="center"/>
    </xf>
    <xf numFmtId="0" fontId="25" fillId="6" borderId="11" xfId="8" applyFont="1" applyFill="1" applyBorder="1" applyAlignment="1">
      <alignment horizontal="center" vertical="center" wrapText="1"/>
    </xf>
    <xf numFmtId="167" fontId="25" fillId="6" borderId="11" xfId="8" applyNumberFormat="1" applyFont="1" applyFill="1" applyBorder="1" applyAlignment="1">
      <alignment horizontal="center" vertical="center" wrapText="1"/>
    </xf>
    <xf numFmtId="0" fontId="11" fillId="0" borderId="0" xfId="8" applyFont="1" applyAlignment="1">
      <alignment horizontal="center" vertical="center" wrapText="1"/>
    </xf>
    <xf numFmtId="0" fontId="5" fillId="0" borderId="0" xfId="8" applyFont="1" applyAlignment="1">
      <alignment vertical="center"/>
    </xf>
    <xf numFmtId="167" fontId="5" fillId="0" borderId="0" xfId="8" applyNumberFormat="1" applyFont="1"/>
    <xf numFmtId="0" fontId="5" fillId="0" borderId="0" xfId="8" applyFont="1" applyAlignment="1">
      <alignment horizontal="center"/>
    </xf>
    <xf numFmtId="0" fontId="13" fillId="0" borderId="0" xfId="9" applyFont="1" applyAlignment="1">
      <alignment vertical="center" wrapText="1"/>
    </xf>
    <xf numFmtId="0" fontId="3" fillId="0" borderId="0" xfId="9" applyFont="1" applyAlignment="1">
      <alignment vertical="center" wrapText="1"/>
    </xf>
    <xf numFmtId="0" fontId="28" fillId="0" borderId="0" xfId="9" applyFont="1" applyAlignment="1">
      <alignment horizontal="center" vertical="center" wrapText="1"/>
    </xf>
    <xf numFmtId="0" fontId="14" fillId="0" borderId="0" xfId="9" applyFont="1" applyAlignment="1">
      <alignment vertical="center" wrapText="1"/>
    </xf>
    <xf numFmtId="0" fontId="26" fillId="6" borderId="27" xfId="9" applyFont="1" applyFill="1" applyBorder="1" applyAlignment="1">
      <alignment vertical="center" wrapText="1"/>
    </xf>
    <xf numFmtId="0" fontId="26" fillId="6" borderId="28" xfId="9" applyFont="1" applyFill="1" applyBorder="1" applyAlignment="1">
      <alignment vertical="center" wrapText="1"/>
    </xf>
    <xf numFmtId="0" fontId="3" fillId="0" borderId="31" xfId="9" applyFont="1" applyBorder="1" applyAlignment="1">
      <alignment horizontal="center" vertical="center" wrapText="1"/>
    </xf>
    <xf numFmtId="0" fontId="3" fillId="9" borderId="32" xfId="9" applyFont="1" applyFill="1" applyBorder="1" applyAlignment="1">
      <alignment horizontal="center" vertical="center" wrapText="1"/>
    </xf>
    <xf numFmtId="0" fontId="3" fillId="9" borderId="33" xfId="9" applyFont="1" applyFill="1" applyBorder="1" applyAlignment="1">
      <alignment horizontal="center" vertical="center" wrapText="1"/>
    </xf>
    <xf numFmtId="0" fontId="3" fillId="8" borderId="33" xfId="9" applyFont="1" applyFill="1" applyBorder="1" applyAlignment="1">
      <alignment horizontal="center" vertical="center" wrapText="1"/>
    </xf>
    <xf numFmtId="0" fontId="3" fillId="0" borderId="32" xfId="9" applyFont="1" applyBorder="1" applyAlignment="1">
      <alignment horizontal="center" vertical="center" wrapText="1"/>
    </xf>
    <xf numFmtId="0" fontId="3" fillId="0" borderId="33" xfId="9" applyFont="1" applyBorder="1" applyAlignment="1">
      <alignment horizontal="center" vertical="center" wrapText="1"/>
    </xf>
    <xf numFmtId="0" fontId="3" fillId="8" borderId="36" xfId="9" applyFont="1" applyFill="1" applyBorder="1" applyAlignment="1">
      <alignment horizontal="center" vertical="center" wrapText="1"/>
    </xf>
    <xf numFmtId="0" fontId="3" fillId="8" borderId="35" xfId="9" applyFont="1" applyFill="1" applyBorder="1" applyAlignment="1">
      <alignment horizontal="center" vertical="center" wrapText="1"/>
    </xf>
    <xf numFmtId="0" fontId="3" fillId="0" borderId="0" xfId="9" applyFont="1" applyAlignment="1">
      <alignment horizontal="center" vertical="center" wrapText="1"/>
    </xf>
    <xf numFmtId="0" fontId="3" fillId="0" borderId="0" xfId="9" applyFont="1" applyAlignment="1">
      <alignment horizontal="right" vertical="center"/>
    </xf>
    <xf numFmtId="0" fontId="26" fillId="6" borderId="30" xfId="9" applyFont="1" applyFill="1" applyBorder="1" applyAlignment="1">
      <alignment horizontal="center" vertical="center" wrapText="1"/>
    </xf>
    <xf numFmtId="0" fontId="3" fillId="0" borderId="12" xfId="9" applyFont="1" applyBorder="1" applyAlignment="1">
      <alignment vertical="center" wrapText="1"/>
    </xf>
    <xf numFmtId="2" fontId="3" fillId="10" borderId="1" xfId="9" applyNumberFormat="1" applyFont="1" applyFill="1" applyBorder="1" applyAlignment="1" applyProtection="1">
      <alignment horizontal="center" vertical="center"/>
      <protection locked="0"/>
    </xf>
    <xf numFmtId="170" fontId="8" fillId="0" borderId="0" xfId="3" applyNumberFormat="1" applyFont="1" applyFill="1" applyBorder="1" applyAlignment="1">
      <alignment horizontal="right" vertical="center"/>
    </xf>
    <xf numFmtId="170" fontId="18" fillId="0" borderId="0" xfId="3" applyNumberFormat="1" applyFont="1" applyFill="1" applyBorder="1" applyAlignment="1">
      <alignment horizontal="right" vertical="center"/>
    </xf>
    <xf numFmtId="170" fontId="18" fillId="0" borderId="14" xfId="3" applyNumberFormat="1" applyFont="1" applyFill="1" applyBorder="1" applyAlignment="1">
      <alignment horizontal="right" vertical="center"/>
    </xf>
    <xf numFmtId="0" fontId="8" fillId="0" borderId="0" xfId="8" applyFont="1" applyAlignment="1">
      <alignment horizontal="left" vertical="center"/>
    </xf>
    <xf numFmtId="0" fontId="8" fillId="0" borderId="15" xfId="8" applyFont="1" applyBorder="1" applyAlignment="1">
      <alignment vertical="center"/>
    </xf>
    <xf numFmtId="0" fontId="9" fillId="0" borderId="0" xfId="8" applyFont="1" applyAlignment="1">
      <alignment horizontal="center" vertical="center"/>
    </xf>
    <xf numFmtId="0" fontId="8" fillId="0" borderId="0" xfId="8" applyFont="1" applyAlignment="1">
      <alignment vertical="center"/>
    </xf>
    <xf numFmtId="0" fontId="8" fillId="0" borderId="0" xfId="8" applyFont="1" applyAlignment="1">
      <alignment horizontal="right" vertical="center"/>
    </xf>
    <xf numFmtId="0" fontId="8" fillId="0" borderId="15" xfId="8" applyFont="1" applyBorder="1" applyAlignment="1">
      <alignment horizontal="left" vertical="center"/>
    </xf>
    <xf numFmtId="167" fontId="8" fillId="0" borderId="15" xfId="8" applyNumberFormat="1" applyFont="1" applyBorder="1" applyAlignment="1">
      <alignment horizontal="left" vertical="center"/>
    </xf>
    <xf numFmtId="167" fontId="8" fillId="0" borderId="15" xfId="8" applyNumberFormat="1" applyFont="1" applyBorder="1" applyAlignment="1">
      <alignment vertical="center"/>
    </xf>
    <xf numFmtId="1" fontId="9" fillId="0" borderId="0" xfId="8" applyNumberFormat="1" applyFont="1" applyAlignment="1">
      <alignment horizontal="center" vertical="center"/>
    </xf>
    <xf numFmtId="4" fontId="9" fillId="0" borderId="0" xfId="8" applyNumberFormat="1" applyFont="1" applyAlignment="1">
      <alignment vertical="center"/>
    </xf>
    <xf numFmtId="44" fontId="9" fillId="0" borderId="0" xfId="3" applyFont="1" applyBorder="1" applyAlignment="1">
      <alignment vertical="center"/>
    </xf>
    <xf numFmtId="44" fontId="9" fillId="0" borderId="0" xfId="3" applyFont="1" applyBorder="1" applyAlignment="1">
      <alignment horizontal="right" vertical="center"/>
    </xf>
    <xf numFmtId="1" fontId="25" fillId="6" borderId="11" xfId="8" applyNumberFormat="1" applyFont="1" applyFill="1" applyBorder="1" applyAlignment="1">
      <alignment horizontal="center" vertical="center" wrapText="1"/>
    </xf>
    <xf numFmtId="4" fontId="25" fillId="6" borderId="11" xfId="8" applyNumberFormat="1" applyFont="1" applyFill="1" applyBorder="1" applyAlignment="1">
      <alignment horizontal="center" vertical="center" wrapText="1"/>
    </xf>
    <xf numFmtId="44" fontId="25" fillId="6" borderId="11" xfId="3" applyFont="1" applyFill="1" applyBorder="1" applyAlignment="1">
      <alignment horizontal="center" vertical="center" wrapText="1"/>
    </xf>
    <xf numFmtId="0" fontId="1" fillId="0" borderId="11" xfId="8" applyBorder="1" applyAlignment="1">
      <alignment horizontal="center"/>
    </xf>
    <xf numFmtId="1" fontId="1" fillId="0" borderId="11" xfId="8" applyNumberFormat="1" applyBorder="1" applyAlignment="1">
      <alignment horizontal="center"/>
    </xf>
    <xf numFmtId="4" fontId="25" fillId="6" borderId="11" xfId="8" applyNumberFormat="1" applyFont="1" applyFill="1" applyBorder="1" applyAlignment="1">
      <alignment horizontal="right" vertical="center" wrapText="1"/>
    </xf>
    <xf numFmtId="171" fontId="25" fillId="6" borderId="16" xfId="3" applyNumberFormat="1" applyFont="1" applyFill="1" applyBorder="1" applyAlignment="1">
      <alignment horizontal="center" vertical="center" wrapText="1"/>
    </xf>
    <xf numFmtId="167" fontId="5" fillId="0" borderId="0" xfId="8" applyNumberFormat="1" applyFont="1" applyAlignment="1">
      <alignment horizontal="center"/>
    </xf>
    <xf numFmtId="44" fontId="21" fillId="0" borderId="17" xfId="3" applyFont="1" applyFill="1" applyBorder="1" applyAlignment="1">
      <alignment horizontal="right" vertical="center" wrapText="1"/>
    </xf>
    <xf numFmtId="172" fontId="21" fillId="0" borderId="17" xfId="3" applyNumberFormat="1" applyFont="1" applyFill="1" applyBorder="1" applyAlignment="1">
      <alignment horizontal="right" vertical="center"/>
    </xf>
    <xf numFmtId="44" fontId="30" fillId="0" borderId="17" xfId="3" applyFont="1" applyFill="1" applyBorder="1" applyAlignment="1">
      <alignment horizontal="right" vertical="center" wrapText="1"/>
    </xf>
    <xf numFmtId="1" fontId="5" fillId="0" borderId="0" xfId="8" applyNumberFormat="1" applyFont="1" applyAlignment="1">
      <alignment horizontal="center"/>
    </xf>
    <xf numFmtId="4" fontId="5" fillId="0" borderId="0" xfId="8" applyNumberFormat="1" applyFont="1"/>
    <xf numFmtId="44" fontId="5" fillId="0" borderId="0" xfId="3" applyFont="1"/>
    <xf numFmtId="0" fontId="3" fillId="0" borderId="0" xfId="8" applyFont="1" applyAlignment="1">
      <alignment horizontal="center"/>
    </xf>
    <xf numFmtId="2" fontId="3" fillId="0" borderId="0" xfId="8" applyNumberFormat="1" applyFont="1"/>
    <xf numFmtId="0" fontId="12" fillId="0" borderId="0" xfId="8" applyFont="1" applyAlignment="1">
      <alignment horizontal="center"/>
    </xf>
    <xf numFmtId="0" fontId="12" fillId="0" borderId="0" xfId="8" applyFont="1"/>
    <xf numFmtId="0" fontId="12" fillId="0" borderId="0" xfId="8" applyFont="1" applyAlignment="1">
      <alignment horizontal="center" vertical="center"/>
    </xf>
    <xf numFmtId="2" fontId="26" fillId="6" borderId="18" xfId="8" applyNumberFormat="1" applyFont="1" applyFill="1" applyBorder="1" applyAlignment="1">
      <alignment horizontal="center" vertical="center"/>
    </xf>
    <xf numFmtId="2" fontId="26" fillId="6" borderId="19" xfId="8" applyNumberFormat="1" applyFont="1" applyFill="1" applyBorder="1" applyAlignment="1">
      <alignment horizontal="center" vertical="center"/>
    </xf>
    <xf numFmtId="2" fontId="26" fillId="6" borderId="20" xfId="8" applyNumberFormat="1" applyFont="1" applyFill="1" applyBorder="1" applyAlignment="1">
      <alignment horizontal="center" vertical="center"/>
    </xf>
    <xf numFmtId="0" fontId="3" fillId="0" borderId="0" xfId="8" applyFont="1" applyAlignment="1">
      <alignment horizontal="right"/>
    </xf>
    <xf numFmtId="2" fontId="3" fillId="0" borderId="21" xfId="8" applyNumberFormat="1" applyFont="1" applyBorder="1" applyAlignment="1">
      <alignment horizontal="right"/>
    </xf>
    <xf numFmtId="2" fontId="3" fillId="0" borderId="11" xfId="8" applyNumberFormat="1" applyFont="1" applyBorder="1" applyAlignment="1">
      <alignment horizontal="right"/>
    </xf>
    <xf numFmtId="2" fontId="3" fillId="0" borderId="11" xfId="8" applyNumberFormat="1" applyFont="1" applyBorder="1"/>
    <xf numFmtId="0" fontId="12" fillId="0" borderId="0" xfId="8" applyFont="1" applyAlignment="1">
      <alignment horizontal="left"/>
    </xf>
    <xf numFmtId="2" fontId="3" fillId="0" borderId="11" xfId="8" applyNumberFormat="1" applyFont="1" applyBorder="1" applyAlignment="1">
      <alignment horizontal="left"/>
    </xf>
    <xf numFmtId="0" fontId="3" fillId="0" borderId="0" xfId="8" applyFont="1" applyAlignment="1">
      <alignment horizontal="left"/>
    </xf>
    <xf numFmtId="0" fontId="3" fillId="0" borderId="11" xfId="8" applyFont="1" applyBorder="1" applyAlignment="1">
      <alignment horizontal="center"/>
    </xf>
    <xf numFmtId="0" fontId="3" fillId="0" borderId="2" xfId="8" applyFont="1" applyBorder="1" applyAlignment="1">
      <alignment horizontal="center"/>
    </xf>
    <xf numFmtId="0" fontId="3" fillId="0" borderId="2" xfId="8" applyFont="1" applyBorder="1"/>
    <xf numFmtId="14" fontId="3" fillId="0" borderId="0" xfId="8" applyNumberFormat="1" applyFont="1" applyAlignment="1">
      <alignment horizontal="left"/>
    </xf>
    <xf numFmtId="167" fontId="1" fillId="0" borderId="11" xfId="8" applyNumberFormat="1" applyBorder="1"/>
    <xf numFmtId="1" fontId="1" fillId="10" borderId="11" xfId="8" applyNumberFormat="1" applyFill="1" applyBorder="1" applyAlignment="1" applyProtection="1">
      <alignment horizontal="center"/>
      <protection locked="0"/>
    </xf>
    <xf numFmtId="4" fontId="1" fillId="0" borderId="11" xfId="8" applyNumberFormat="1" applyBorder="1"/>
    <xf numFmtId="44" fontId="1" fillId="0" borderId="11" xfId="14" applyFont="1" applyBorder="1" applyAlignment="1"/>
    <xf numFmtId="44" fontId="1" fillId="0" borderId="11" xfId="3" applyFont="1" applyBorder="1" applyAlignment="1"/>
    <xf numFmtId="0" fontId="6" fillId="7" borderId="3" xfId="11" applyFont="1" applyFill="1" applyBorder="1" applyAlignment="1">
      <alignment horizontal="left" vertical="center" wrapText="1"/>
    </xf>
    <xf numFmtId="0" fontId="6" fillId="11" borderId="0" xfId="9" applyFont="1" applyFill="1"/>
    <xf numFmtId="166" fontId="6" fillId="11" borderId="0" xfId="3" applyNumberFormat="1" applyFont="1" applyFill="1" applyBorder="1" applyProtection="1"/>
    <xf numFmtId="168" fontId="6" fillId="11" borderId="2" xfId="3" applyNumberFormat="1" applyFont="1" applyFill="1" applyBorder="1" applyProtection="1"/>
    <xf numFmtId="0" fontId="7" fillId="7" borderId="3" xfId="11" applyFont="1" applyFill="1" applyBorder="1" applyAlignment="1">
      <alignment horizontal="left" vertical="center" wrapText="1"/>
    </xf>
    <xf numFmtId="0" fontId="1" fillId="0" borderId="0" xfId="9" applyAlignment="1">
      <alignment horizontal="left"/>
    </xf>
    <xf numFmtId="0" fontId="5" fillId="0" borderId="0" xfId="9" applyFont="1" applyAlignment="1">
      <alignment horizontal="left"/>
    </xf>
    <xf numFmtId="0" fontId="1" fillId="0" borderId="22" xfId="9" applyBorder="1"/>
    <xf numFmtId="0" fontId="8" fillId="0" borderId="23" xfId="9" applyFont="1" applyBorder="1"/>
    <xf numFmtId="0" fontId="1" fillId="0" borderId="23" xfId="9" applyBorder="1"/>
    <xf numFmtId="44" fontId="1" fillId="0" borderId="23" xfId="3" applyFont="1" applyBorder="1" applyProtection="1"/>
    <xf numFmtId="0" fontId="1" fillId="0" borderId="24" xfId="9" applyBorder="1"/>
    <xf numFmtId="44" fontId="3" fillId="0" borderId="2" xfId="3" applyFont="1" applyBorder="1" applyProtection="1"/>
    <xf numFmtId="0" fontId="1" fillId="0" borderId="11" xfId="0" applyFont="1" applyBorder="1" applyAlignment="1">
      <alignment horizontal="center" vertical="center"/>
    </xf>
    <xf numFmtId="0" fontId="8" fillId="0" borderId="0" xfId="9" applyFont="1" applyAlignment="1">
      <alignment vertical="center"/>
    </xf>
    <xf numFmtId="167" fontId="7" fillId="9" borderId="11" xfId="9" applyNumberFormat="1" applyFont="1" applyFill="1" applyBorder="1" applyAlignment="1">
      <alignment horizontal="center" vertical="center"/>
    </xf>
    <xf numFmtId="167" fontId="7" fillId="9" borderId="10" xfId="9" applyNumberFormat="1" applyFont="1" applyFill="1" applyBorder="1" applyAlignment="1">
      <alignment vertical="center"/>
    </xf>
    <xf numFmtId="174" fontId="7" fillId="9" borderId="11" xfId="9" applyNumberFormat="1" applyFont="1" applyFill="1" applyBorder="1" applyAlignment="1">
      <alignment horizontal="center" vertical="center"/>
    </xf>
    <xf numFmtId="173" fontId="7" fillId="9" borderId="11" xfId="9" applyNumberFormat="1" applyFont="1" applyFill="1" applyBorder="1" applyAlignment="1">
      <alignment vertical="center"/>
    </xf>
    <xf numFmtId="167" fontId="25" fillId="6" borderId="37" xfId="9" applyNumberFormat="1" applyFont="1" applyFill="1" applyBorder="1" applyAlignment="1">
      <alignment horizontal="center" vertical="center" wrapText="1"/>
    </xf>
    <xf numFmtId="175" fontId="25" fillId="6" borderId="37" xfId="9" applyNumberFormat="1" applyFont="1" applyFill="1" applyBorder="1" applyAlignment="1">
      <alignment horizontal="center" vertical="center" wrapText="1"/>
    </xf>
    <xf numFmtId="44" fontId="25" fillId="6" borderId="37" xfId="14" applyFont="1" applyFill="1" applyBorder="1" applyAlignment="1">
      <alignment horizontal="center" vertical="center" wrapText="1"/>
    </xf>
    <xf numFmtId="0" fontId="25" fillId="6" borderId="38" xfId="9" applyFont="1" applyFill="1" applyBorder="1" applyAlignment="1">
      <alignment vertical="center"/>
    </xf>
    <xf numFmtId="0" fontId="3" fillId="0" borderId="0" xfId="8" applyFont="1" applyAlignment="1">
      <alignment wrapText="1"/>
    </xf>
    <xf numFmtId="0" fontId="28" fillId="6" borderId="22" xfId="8" applyFont="1" applyFill="1" applyBorder="1" applyAlignment="1">
      <alignment horizontal="center"/>
    </xf>
    <xf numFmtId="0" fontId="3" fillId="9" borderId="5" xfId="8" applyFont="1" applyFill="1" applyBorder="1" applyAlignment="1">
      <alignment horizontal="center"/>
    </xf>
    <xf numFmtId="0" fontId="3" fillId="0" borderId="5" xfId="8" applyFont="1" applyBorder="1" applyAlignment="1">
      <alignment horizontal="center"/>
    </xf>
    <xf numFmtId="14" fontId="28" fillId="6" borderId="39" xfId="8" applyNumberFormat="1" applyFont="1" applyFill="1" applyBorder="1" applyAlignment="1">
      <alignment horizontal="center"/>
    </xf>
    <xf numFmtId="2" fontId="3" fillId="9" borderId="40" xfId="8" applyNumberFormat="1" applyFont="1" applyFill="1" applyBorder="1" applyAlignment="1">
      <alignment horizontal="center"/>
    </xf>
    <xf numFmtId="2" fontId="3" fillId="0" borderId="40" xfId="8" applyNumberFormat="1" applyFont="1" applyBorder="1" applyAlignment="1">
      <alignment horizontal="center"/>
    </xf>
    <xf numFmtId="0" fontId="3" fillId="0" borderId="40" xfId="8" applyFont="1" applyBorder="1" applyAlignment="1">
      <alignment horizontal="center"/>
    </xf>
    <xf numFmtId="0" fontId="3" fillId="9" borderId="40" xfId="8" applyFont="1" applyFill="1" applyBorder="1" applyAlignment="1">
      <alignment horizontal="center"/>
    </xf>
    <xf numFmtId="0" fontId="3" fillId="6" borderId="0" xfId="9" applyFont="1" applyFill="1" applyAlignment="1">
      <alignment vertical="center" wrapText="1"/>
    </xf>
    <xf numFmtId="0" fontId="2" fillId="0" borderId="0" xfId="8" applyFont="1" applyAlignment="1">
      <alignment horizontal="center" vertical="center"/>
    </xf>
    <xf numFmtId="4" fontId="9" fillId="0" borderId="0" xfId="8" applyNumberFormat="1" applyFont="1" applyAlignment="1">
      <alignment horizontal="center" vertical="center"/>
    </xf>
    <xf numFmtId="3" fontId="9" fillId="0" borderId="0" xfId="8" applyNumberFormat="1" applyFont="1" applyAlignment="1">
      <alignment horizontal="center" vertical="center"/>
    </xf>
    <xf numFmtId="167" fontId="8" fillId="0" borderId="0" xfId="8" applyNumberFormat="1" applyFont="1" applyAlignment="1">
      <alignment horizontal="right" vertical="center"/>
    </xf>
    <xf numFmtId="3" fontId="8" fillId="0" borderId="0" xfId="8" applyNumberFormat="1" applyFont="1" applyAlignment="1">
      <alignment vertical="center"/>
    </xf>
    <xf numFmtId="167" fontId="8" fillId="0" borderId="0" xfId="8" applyNumberFormat="1" applyFont="1" applyAlignment="1">
      <alignment vertical="center"/>
    </xf>
    <xf numFmtId="1" fontId="8" fillId="0" borderId="0" xfId="8" applyNumberFormat="1" applyFont="1" applyAlignment="1">
      <alignment horizontal="center" vertical="center"/>
    </xf>
    <xf numFmtId="44" fontId="8" fillId="0" borderId="0" xfId="3" applyFont="1" applyBorder="1" applyAlignment="1">
      <alignment vertical="center"/>
    </xf>
    <xf numFmtId="0" fontId="31" fillId="0" borderId="0" xfId="8" applyFont="1" applyAlignment="1">
      <alignment vertical="center"/>
    </xf>
    <xf numFmtId="44" fontId="8" fillId="0" borderId="0" xfId="3" applyFont="1" applyFill="1" applyBorder="1" applyAlignment="1">
      <alignment horizontal="right" vertical="center"/>
    </xf>
    <xf numFmtId="4" fontId="5" fillId="0" borderId="0" xfId="8" applyNumberFormat="1" applyFont="1" applyAlignment="1">
      <alignment horizontal="center"/>
    </xf>
    <xf numFmtId="3" fontId="5" fillId="0" borderId="0" xfId="8" applyNumberFormat="1" applyFont="1" applyAlignment="1">
      <alignment horizontal="center"/>
    </xf>
    <xf numFmtId="0" fontId="5" fillId="0" borderId="0" xfId="8" applyFont="1" applyAlignment="1">
      <alignment horizontal="left"/>
    </xf>
    <xf numFmtId="3" fontId="5" fillId="0" borderId="0" xfId="8" applyNumberFormat="1" applyFont="1"/>
    <xf numFmtId="44" fontId="5" fillId="0" borderId="0" xfId="3" applyFont="1" applyBorder="1"/>
    <xf numFmtId="0" fontId="1" fillId="0" borderId="0" xfId="8" applyAlignment="1">
      <alignment horizontal="left"/>
    </xf>
    <xf numFmtId="167" fontId="1" fillId="0" borderId="0" xfId="8" applyNumberFormat="1"/>
    <xf numFmtId="167" fontId="27" fillId="6" borderId="0" xfId="8" applyNumberFormat="1" applyFont="1" applyFill="1" applyAlignment="1">
      <alignment vertical="center"/>
    </xf>
    <xf numFmtId="4" fontId="1" fillId="0" borderId="0" xfId="8" applyNumberFormat="1" applyAlignment="1">
      <alignment vertical="center"/>
    </xf>
    <xf numFmtId="44" fontId="1" fillId="0" borderId="0" xfId="3" applyFont="1" applyBorder="1" applyAlignment="1">
      <alignment vertical="center"/>
    </xf>
    <xf numFmtId="44" fontId="1" fillId="0" borderId="0" xfId="3" applyFont="1" applyBorder="1"/>
    <xf numFmtId="167" fontId="1" fillId="0" borderId="11" xfId="8" applyNumberFormat="1" applyBorder="1" applyAlignment="1">
      <alignment vertical="center"/>
    </xf>
    <xf numFmtId="1" fontId="1" fillId="10" borderId="11" xfId="8" applyNumberFormat="1" applyFill="1" applyBorder="1" applyAlignment="1" applyProtection="1">
      <alignment horizontal="center" vertical="center"/>
      <protection locked="0"/>
    </xf>
    <xf numFmtId="176" fontId="1" fillId="0" borderId="11" xfId="8" applyNumberFormat="1" applyBorder="1" applyAlignment="1">
      <alignment vertical="center"/>
    </xf>
    <xf numFmtId="44" fontId="1" fillId="0" borderId="11" xfId="14" applyFont="1" applyBorder="1" applyAlignment="1">
      <alignment vertical="center"/>
    </xf>
    <xf numFmtId="0" fontId="30" fillId="6" borderId="11" xfId="8" applyFont="1" applyFill="1" applyBorder="1" applyAlignment="1">
      <alignment horizontal="center" vertical="center" wrapText="1"/>
    </xf>
    <xf numFmtId="0" fontId="30" fillId="6" borderId="11" xfId="8" applyFont="1" applyFill="1" applyBorder="1" applyAlignment="1">
      <alignment horizontal="left" vertical="center" wrapText="1"/>
    </xf>
    <xf numFmtId="176" fontId="25" fillId="6" borderId="11" xfId="8" applyNumberFormat="1" applyFont="1" applyFill="1" applyBorder="1" applyAlignment="1">
      <alignment horizontal="center" vertical="center" wrapText="1"/>
    </xf>
    <xf numFmtId="44" fontId="27" fillId="6" borderId="11" xfId="14" applyFont="1" applyFill="1" applyBorder="1" applyAlignment="1">
      <alignment vertical="center"/>
    </xf>
    <xf numFmtId="44" fontId="25" fillId="6" borderId="11" xfId="8" applyNumberFormat="1" applyFont="1" applyFill="1" applyBorder="1" applyAlignment="1">
      <alignment horizontal="center" vertical="center" wrapText="1"/>
    </xf>
    <xf numFmtId="1" fontId="1" fillId="8" borderId="11" xfId="8" applyNumberFormat="1" applyFill="1" applyBorder="1" applyAlignment="1">
      <alignment horizontal="center" vertical="center"/>
    </xf>
    <xf numFmtId="0" fontId="1" fillId="12" borderId="0" xfId="17" applyFill="1" applyAlignment="1">
      <alignment vertical="center"/>
    </xf>
    <xf numFmtId="10" fontId="8" fillId="12" borderId="0" xfId="17" applyNumberFormat="1" applyFont="1" applyFill="1" applyAlignment="1">
      <alignment vertical="center"/>
    </xf>
    <xf numFmtId="0" fontId="8" fillId="12" borderId="0" xfId="17" applyFont="1" applyFill="1" applyAlignment="1">
      <alignment vertical="center"/>
    </xf>
    <xf numFmtId="0" fontId="12" fillId="2" borderId="0" xfId="13" applyFont="1" applyFill="1" applyAlignment="1">
      <alignment vertical="center"/>
    </xf>
    <xf numFmtId="0" fontId="1" fillId="0" borderId="0" xfId="17" applyAlignment="1">
      <alignment vertical="center"/>
    </xf>
    <xf numFmtId="0" fontId="8" fillId="0" borderId="0" xfId="17" applyFont="1" applyAlignment="1">
      <alignment vertical="center"/>
    </xf>
    <xf numFmtId="0" fontId="15" fillId="0" borderId="0" xfId="17" applyFont="1" applyAlignment="1">
      <alignment vertical="center"/>
    </xf>
    <xf numFmtId="10" fontId="15" fillId="0" borderId="0" xfId="18" applyNumberFormat="1" applyFont="1" applyFill="1" applyBorder="1" applyAlignment="1">
      <alignment vertical="center"/>
    </xf>
    <xf numFmtId="169" fontId="16" fillId="0" borderId="0" xfId="18" applyNumberFormat="1" applyFont="1" applyFill="1" applyBorder="1" applyAlignment="1">
      <alignment vertical="center"/>
    </xf>
    <xf numFmtId="10" fontId="17" fillId="0" borderId="0" xfId="18" applyNumberFormat="1" applyFont="1" applyFill="1" applyBorder="1" applyAlignment="1">
      <alignment vertical="center"/>
    </xf>
    <xf numFmtId="169" fontId="8" fillId="0" borderId="0" xfId="18" applyNumberFormat="1" applyFont="1" applyFill="1" applyBorder="1" applyAlignment="1">
      <alignment vertical="center"/>
    </xf>
    <xf numFmtId="0" fontId="17" fillId="0" borderId="0" xfId="17" applyFont="1" applyAlignment="1">
      <alignment vertical="center"/>
    </xf>
    <xf numFmtId="169" fontId="18" fillId="0" borderId="0" xfId="18" applyNumberFormat="1" applyFont="1" applyFill="1" applyBorder="1" applyAlignment="1">
      <alignment vertical="center"/>
    </xf>
    <xf numFmtId="0" fontId="6" fillId="0" borderId="0" xfId="17" applyFont="1" applyAlignment="1">
      <alignment vertical="center"/>
    </xf>
    <xf numFmtId="10" fontId="8" fillId="0" borderId="0" xfId="18" applyNumberFormat="1" applyFont="1" applyFill="1" applyBorder="1" applyAlignment="1">
      <alignment vertical="center"/>
    </xf>
    <xf numFmtId="10" fontId="8" fillId="10" borderId="2" xfId="18" applyNumberFormat="1" applyFont="1" applyFill="1" applyBorder="1" applyAlignment="1" applyProtection="1">
      <alignment horizontal="right" vertical="center"/>
      <protection locked="0"/>
    </xf>
    <xf numFmtId="0" fontId="15" fillId="0" borderId="0" xfId="17" applyFont="1" applyAlignment="1">
      <alignment horizontal="right" vertical="center"/>
    </xf>
    <xf numFmtId="0" fontId="19" fillId="0" borderId="0" xfId="17" applyFont="1" applyAlignment="1">
      <alignment vertical="center"/>
    </xf>
    <xf numFmtId="10" fontId="15" fillId="0" borderId="2" xfId="18" applyNumberFormat="1" applyFont="1" applyFill="1" applyBorder="1" applyAlignment="1">
      <alignment horizontal="right" vertical="center"/>
    </xf>
    <xf numFmtId="0" fontId="16" fillId="0" borderId="0" xfId="17" applyFont="1" applyAlignment="1">
      <alignment horizontal="right" vertical="center"/>
    </xf>
    <xf numFmtId="10" fontId="6" fillId="0" borderId="0" xfId="18" applyNumberFormat="1" applyFont="1" applyFill="1" applyBorder="1" applyAlignment="1">
      <alignment horizontal="right" vertical="center"/>
    </xf>
    <xf numFmtId="169" fontId="6" fillId="0" borderId="0" xfId="18" applyNumberFormat="1" applyFont="1" applyFill="1" applyBorder="1" applyAlignment="1">
      <alignment vertical="center"/>
    </xf>
    <xf numFmtId="2" fontId="1" fillId="0" borderId="0" xfId="17" applyNumberFormat="1" applyAlignment="1">
      <alignment vertical="center"/>
    </xf>
    <xf numFmtId="0" fontId="33" fillId="0" borderId="0" xfId="17" applyFont="1" applyAlignment="1">
      <alignment vertical="center"/>
    </xf>
    <xf numFmtId="0" fontId="16" fillId="0" borderId="0" xfId="17" applyFont="1" applyAlignment="1">
      <alignment vertical="center"/>
    </xf>
    <xf numFmtId="10" fontId="16" fillId="10" borderId="2" xfId="18" applyNumberFormat="1" applyFont="1" applyFill="1" applyBorder="1" applyAlignment="1" applyProtection="1">
      <alignment horizontal="right" vertical="center"/>
      <protection locked="0"/>
    </xf>
    <xf numFmtId="0" fontId="15" fillId="0" borderId="13" xfId="17" applyFont="1" applyBorder="1" applyAlignment="1">
      <alignment vertical="center"/>
    </xf>
    <xf numFmtId="10" fontId="15" fillId="0" borderId="14" xfId="18" applyNumberFormat="1" applyFont="1" applyFill="1" applyBorder="1" applyAlignment="1">
      <alignment horizontal="right" vertical="center"/>
    </xf>
    <xf numFmtId="169" fontId="16" fillId="0" borderId="14" xfId="18" applyNumberFormat="1" applyFont="1" applyFill="1" applyBorder="1" applyAlignment="1">
      <alignment vertical="center"/>
    </xf>
    <xf numFmtId="10" fontId="1" fillId="12" borderId="0" xfId="17" applyNumberFormat="1" applyFill="1" applyAlignment="1">
      <alignment vertical="center"/>
    </xf>
    <xf numFmtId="0" fontId="35" fillId="0" borderId="0" xfId="17" applyFont="1" applyAlignment="1">
      <alignment horizontal="right" vertical="center"/>
    </xf>
    <xf numFmtId="0" fontId="1" fillId="0" borderId="0" xfId="17" applyAlignment="1">
      <alignment horizontal="right" vertical="center"/>
    </xf>
    <xf numFmtId="0" fontId="24" fillId="8" borderId="11" xfId="0" applyFont="1" applyFill="1" applyBorder="1" applyAlignment="1">
      <alignment horizontal="center" vertical="center"/>
    </xf>
    <xf numFmtId="167" fontId="1" fillId="8" borderId="11" xfId="8" applyNumberFormat="1" applyFill="1" applyBorder="1" applyAlignment="1">
      <alignment vertical="center"/>
    </xf>
    <xf numFmtId="0" fontId="1" fillId="0" borderId="11" xfId="0" applyFont="1" applyBorder="1" applyAlignment="1">
      <alignment horizontal="center" vertical="center" wrapText="1"/>
    </xf>
    <xf numFmtId="4" fontId="7" fillId="9" borderId="11" xfId="9" applyNumberFormat="1" applyFont="1" applyFill="1" applyBorder="1" applyAlignment="1">
      <alignment horizontal="center" vertical="center"/>
    </xf>
    <xf numFmtId="4" fontId="25" fillId="6" borderId="37" xfId="9" applyNumberFormat="1" applyFont="1" applyFill="1" applyBorder="1" applyAlignment="1">
      <alignment horizontal="center" vertical="center" wrapText="1"/>
    </xf>
    <xf numFmtId="0" fontId="25" fillId="6" borderId="2" xfId="9" applyFont="1" applyFill="1" applyBorder="1" applyAlignment="1">
      <alignment horizontal="right" vertical="center"/>
    </xf>
    <xf numFmtId="0" fontId="3" fillId="0" borderId="28" xfId="9" applyFont="1" applyBorder="1" applyAlignment="1">
      <alignment horizontal="center" vertical="center" wrapText="1"/>
    </xf>
    <xf numFmtId="0" fontId="25" fillId="6" borderId="17" xfId="9" applyFont="1" applyFill="1" applyBorder="1" applyAlignment="1">
      <alignment horizontal="right" vertical="center"/>
    </xf>
    <xf numFmtId="0" fontId="25" fillId="6" borderId="2" xfId="9" applyFont="1" applyFill="1" applyBorder="1" applyAlignment="1">
      <alignment vertical="center"/>
    </xf>
    <xf numFmtId="0" fontId="40" fillId="2" borderId="0" xfId="9" applyFont="1" applyFill="1" applyAlignment="1">
      <alignment vertical="center"/>
    </xf>
    <xf numFmtId="0" fontId="2" fillId="2" borderId="0" xfId="9" applyFont="1" applyFill="1" applyAlignment="1">
      <alignment vertical="center"/>
    </xf>
    <xf numFmtId="0" fontId="2" fillId="2" borderId="44" xfId="9" applyFont="1" applyFill="1" applyBorder="1" applyAlignment="1">
      <alignment vertical="center"/>
    </xf>
    <xf numFmtId="0" fontId="28" fillId="0" borderId="44" xfId="9" applyFont="1" applyBorder="1" applyAlignment="1">
      <alignment horizontal="center" vertical="center" wrapText="1"/>
    </xf>
    <xf numFmtId="0" fontId="41" fillId="0" borderId="0" xfId="9" applyFont="1" applyAlignment="1">
      <alignment vertical="center" wrapText="1"/>
    </xf>
    <xf numFmtId="0" fontId="3" fillId="0" borderId="46" xfId="9" applyFont="1" applyBorder="1" applyAlignment="1">
      <alignment horizontal="center" textRotation="90" wrapText="1"/>
    </xf>
    <xf numFmtId="0" fontId="3" fillId="0" borderId="47" xfId="9" applyFont="1" applyBorder="1" applyAlignment="1">
      <alignment horizontal="center" textRotation="90" wrapText="1"/>
    </xf>
    <xf numFmtId="0" fontId="3" fillId="8" borderId="47" xfId="9" applyFont="1" applyFill="1" applyBorder="1" applyAlignment="1">
      <alignment horizontal="center" textRotation="90" wrapText="1"/>
    </xf>
    <xf numFmtId="0" fontId="3" fillId="0" borderId="48" xfId="9" applyFont="1" applyBorder="1" applyAlignment="1">
      <alignment horizontal="center" textRotation="90" wrapText="1"/>
    </xf>
    <xf numFmtId="0" fontId="3" fillId="0" borderId="49" xfId="9" applyFont="1" applyBorder="1" applyAlignment="1">
      <alignment horizontal="center" textRotation="90" wrapText="1"/>
    </xf>
    <xf numFmtId="0" fontId="12" fillId="8" borderId="27" xfId="9" applyFont="1" applyFill="1" applyBorder="1" applyAlignment="1">
      <alignment vertical="center" wrapText="1"/>
    </xf>
    <xf numFmtId="0" fontId="12" fillId="8" borderId="28" xfId="9" applyFont="1" applyFill="1" applyBorder="1" applyAlignment="1">
      <alignment vertical="center" wrapText="1"/>
    </xf>
    <xf numFmtId="0" fontId="12" fillId="8" borderId="28" xfId="9" applyFont="1" applyFill="1" applyBorder="1" applyAlignment="1">
      <alignment horizontal="right" vertical="center" wrapText="1"/>
    </xf>
    <xf numFmtId="0" fontId="26" fillId="6" borderId="50" xfId="9" applyFont="1" applyFill="1" applyBorder="1" applyAlignment="1">
      <alignment horizontal="center" vertical="center" wrapText="1"/>
    </xf>
    <xf numFmtId="0" fontId="26" fillId="6" borderId="51" xfId="9" applyFont="1" applyFill="1" applyBorder="1" applyAlignment="1">
      <alignment horizontal="center" vertical="center" wrapText="1"/>
    </xf>
    <xf numFmtId="0" fontId="26" fillId="6" borderId="52" xfId="9" applyFont="1" applyFill="1" applyBorder="1" applyAlignment="1">
      <alignment horizontal="center" vertical="center" wrapText="1"/>
    </xf>
    <xf numFmtId="0" fontId="12" fillId="0" borderId="0" xfId="9" applyFont="1" applyAlignment="1">
      <alignment horizontal="right" vertical="center" wrapText="1"/>
    </xf>
    <xf numFmtId="0" fontId="26" fillId="6" borderId="53" xfId="9" applyFont="1" applyFill="1" applyBorder="1" applyAlignment="1">
      <alignment horizontal="center" vertical="center" wrapText="1"/>
    </xf>
    <xf numFmtId="0" fontId="26" fillId="6" borderId="54" xfId="9" applyFont="1" applyFill="1" applyBorder="1" applyAlignment="1">
      <alignment horizontal="center" vertical="center" wrapText="1"/>
    </xf>
    <xf numFmtId="0" fontId="26" fillId="6" borderId="55" xfId="9" applyFont="1" applyFill="1" applyBorder="1" applyAlignment="1">
      <alignment horizontal="center" vertical="center" wrapText="1"/>
    </xf>
    <xf numFmtId="0" fontId="12" fillId="0" borderId="29" xfId="9" applyFont="1" applyBorder="1" applyAlignment="1">
      <alignment horizontal="center" vertical="center" wrapText="1"/>
    </xf>
    <xf numFmtId="0" fontId="12" fillId="0" borderId="28" xfId="9" applyFont="1" applyBorder="1" applyAlignment="1">
      <alignment horizontal="center" vertical="center" wrapText="1"/>
    </xf>
    <xf numFmtId="0" fontId="12" fillId="0" borderId="0" xfId="9" applyFont="1" applyAlignment="1">
      <alignment horizontal="center" vertical="center" wrapText="1"/>
    </xf>
    <xf numFmtId="0" fontId="12" fillId="0" borderId="44" xfId="9" applyFont="1" applyBorder="1" applyAlignment="1">
      <alignment horizontal="center" vertical="center" wrapText="1"/>
    </xf>
    <xf numFmtId="0" fontId="12" fillId="0" borderId="52" xfId="9" applyFont="1" applyBorder="1" applyAlignment="1">
      <alignment horizontal="center" vertical="center" wrapText="1"/>
    </xf>
    <xf numFmtId="0" fontId="12" fillId="13" borderId="0" xfId="9" applyFont="1" applyFill="1" applyAlignment="1">
      <alignment vertical="center"/>
    </xf>
    <xf numFmtId="0" fontId="12" fillId="13" borderId="29" xfId="9" applyFont="1" applyFill="1" applyBorder="1" applyAlignment="1">
      <alignment vertical="center" wrapText="1"/>
    </xf>
    <xf numFmtId="0" fontId="3" fillId="8" borderId="28" xfId="9" applyFont="1" applyFill="1" applyBorder="1" applyAlignment="1">
      <alignment vertical="center" wrapText="1"/>
    </xf>
    <xf numFmtId="0" fontId="3" fillId="8" borderId="56" xfId="9" applyFont="1" applyFill="1" applyBorder="1" applyAlignment="1">
      <alignment vertical="center" wrapText="1"/>
    </xf>
    <xf numFmtId="0" fontId="3" fillId="0" borderId="11" xfId="9" applyFont="1" applyBorder="1" applyAlignment="1">
      <alignment vertical="center" wrapText="1"/>
    </xf>
    <xf numFmtId="0" fontId="3" fillId="0" borderId="11" xfId="9" applyFont="1" applyBorder="1" applyAlignment="1">
      <alignment vertical="center" wrapText="1" shrinkToFit="1"/>
    </xf>
    <xf numFmtId="0" fontId="3" fillId="0" borderId="41" xfId="9" applyFont="1" applyBorder="1" applyAlignment="1">
      <alignment horizontal="center" vertical="center" wrapText="1"/>
    </xf>
    <xf numFmtId="0" fontId="3" fillId="0" borderId="36" xfId="9" applyFont="1" applyBorder="1" applyAlignment="1">
      <alignment horizontal="center" vertical="center" wrapText="1"/>
    </xf>
    <xf numFmtId="0" fontId="3" fillId="0" borderId="57" xfId="9" applyFont="1" applyBorder="1" applyAlignment="1">
      <alignment horizontal="center" vertical="center" wrapText="1"/>
    </xf>
    <xf numFmtId="0" fontId="3" fillId="9" borderId="41" xfId="9" applyFont="1" applyFill="1" applyBorder="1" applyAlignment="1">
      <alignment horizontal="center" vertical="center" wrapText="1"/>
    </xf>
    <xf numFmtId="0" fontId="3" fillId="9" borderId="36" xfId="9" applyFont="1" applyFill="1" applyBorder="1" applyAlignment="1">
      <alignment horizontal="center" vertical="center" wrapText="1"/>
    </xf>
    <xf numFmtId="0" fontId="3" fillId="9" borderId="58" xfId="9" applyFont="1" applyFill="1" applyBorder="1" applyAlignment="1">
      <alignment horizontal="center" vertical="center" wrapText="1"/>
    </xf>
    <xf numFmtId="0" fontId="3" fillId="9" borderId="57" xfId="9" applyFont="1" applyFill="1" applyBorder="1" applyAlignment="1">
      <alignment horizontal="center" vertical="center" wrapText="1"/>
    </xf>
    <xf numFmtId="0" fontId="3" fillId="0" borderId="11" xfId="9" applyFont="1" applyBorder="1" applyAlignment="1">
      <alignment horizontal="left" vertical="center" wrapText="1" shrinkToFit="1"/>
    </xf>
    <xf numFmtId="0" fontId="3" fillId="0" borderId="58" xfId="9" applyFont="1" applyBorder="1" applyAlignment="1">
      <alignment horizontal="center" vertical="center" wrapText="1"/>
    </xf>
    <xf numFmtId="0" fontId="3" fillId="0" borderId="11" xfId="9" applyFont="1" applyBorder="1" applyAlignment="1">
      <alignment vertical="center" shrinkToFit="1"/>
    </xf>
    <xf numFmtId="0" fontId="3" fillId="9" borderId="59" xfId="9" applyFont="1" applyFill="1" applyBorder="1" applyAlignment="1">
      <alignment horizontal="center" vertical="center" wrapText="1"/>
    </xf>
    <xf numFmtId="0" fontId="3" fillId="9" borderId="60" xfId="9" applyFont="1" applyFill="1" applyBorder="1" applyAlignment="1">
      <alignment horizontal="center" vertical="center" wrapText="1"/>
    </xf>
    <xf numFmtId="0" fontId="3" fillId="9" borderId="61" xfId="9" applyFont="1" applyFill="1" applyBorder="1" applyAlignment="1">
      <alignment horizontal="center" vertical="center" wrapText="1"/>
    </xf>
    <xf numFmtId="0" fontId="3" fillId="0" borderId="34" xfId="9" applyFont="1" applyBorder="1" applyAlignment="1">
      <alignment horizontal="center" vertical="center" wrapText="1"/>
    </xf>
    <xf numFmtId="0" fontId="3" fillId="0" borderId="56" xfId="9" applyFont="1" applyBorder="1" applyAlignment="1">
      <alignment horizontal="center" vertical="center" wrapText="1"/>
    </xf>
    <xf numFmtId="0" fontId="3" fillId="0" borderId="62" xfId="9" applyFont="1" applyBorder="1" applyAlignment="1">
      <alignment horizontal="center" vertical="center" wrapText="1"/>
    </xf>
    <xf numFmtId="0" fontId="3" fillId="0" borderId="63" xfId="9" applyFont="1" applyBorder="1" applyAlignment="1">
      <alignment horizontal="center" vertical="center" wrapText="1"/>
    </xf>
    <xf numFmtId="0" fontId="3" fillId="0" borderId="64" xfId="9" applyFont="1" applyBorder="1" applyAlignment="1">
      <alignment horizontal="center" vertical="center" wrapText="1"/>
    </xf>
    <xf numFmtId="0" fontId="3" fillId="8" borderId="11" xfId="9" applyFont="1" applyFill="1" applyBorder="1" applyAlignment="1">
      <alignment vertical="center" wrapText="1"/>
    </xf>
    <xf numFmtId="0" fontId="3" fillId="8" borderId="11" xfId="9" applyFont="1" applyFill="1" applyBorder="1" applyAlignment="1">
      <alignment vertical="center" shrinkToFit="1"/>
    </xf>
    <xf numFmtId="0" fontId="3" fillId="9" borderId="65" xfId="9" applyFont="1" applyFill="1" applyBorder="1" applyAlignment="1">
      <alignment horizontal="center" vertical="center" wrapText="1"/>
    </xf>
    <xf numFmtId="0" fontId="3" fillId="8" borderId="28" xfId="9" applyFont="1" applyFill="1" applyBorder="1" applyAlignment="1">
      <alignment horizontal="center" vertical="center" wrapText="1"/>
    </xf>
    <xf numFmtId="0" fontId="3" fillId="8" borderId="56" xfId="9" applyFont="1" applyFill="1" applyBorder="1" applyAlignment="1">
      <alignment horizontal="center" vertical="center" wrapText="1"/>
    </xf>
    <xf numFmtId="0" fontId="3" fillId="8" borderId="58" xfId="9" applyFont="1" applyFill="1" applyBorder="1" applyAlignment="1">
      <alignment horizontal="center" vertical="center" wrapText="1"/>
    </xf>
    <xf numFmtId="0" fontId="1" fillId="8" borderId="0" xfId="9" applyFill="1"/>
    <xf numFmtId="0" fontId="3" fillId="8" borderId="57" xfId="9" applyFont="1" applyFill="1" applyBorder="1" applyAlignment="1">
      <alignment horizontal="center" vertical="center" wrapText="1"/>
    </xf>
    <xf numFmtId="0" fontId="3" fillId="8" borderId="66" xfId="9" applyFont="1" applyFill="1" applyBorder="1" applyAlignment="1">
      <alignment horizontal="center" vertical="center" wrapText="1"/>
    </xf>
    <xf numFmtId="0" fontId="3" fillId="8" borderId="67" xfId="9" applyFont="1" applyFill="1" applyBorder="1" applyAlignment="1">
      <alignment horizontal="center" vertical="center" wrapText="1"/>
    </xf>
    <xf numFmtId="0" fontId="1" fillId="0" borderId="0" xfId="9" applyAlignment="1">
      <alignment wrapText="1"/>
    </xf>
    <xf numFmtId="0" fontId="3" fillId="6" borderId="0" xfId="9" applyFont="1" applyFill="1" applyAlignment="1">
      <alignment horizontal="center" vertical="center" wrapText="1"/>
    </xf>
    <xf numFmtId="0" fontId="3" fillId="6" borderId="44" xfId="9" applyFont="1" applyFill="1" applyBorder="1" applyAlignment="1">
      <alignment horizontal="center" vertical="center" wrapText="1"/>
    </xf>
    <xf numFmtId="14" fontId="3" fillId="0" borderId="0" xfId="9" applyNumberFormat="1" applyFont="1" applyAlignment="1">
      <alignment horizontal="left" vertical="center"/>
    </xf>
    <xf numFmtId="14" fontId="3" fillId="0" borderId="0" xfId="9" applyNumberFormat="1" applyFont="1" applyAlignment="1">
      <alignment horizontal="right" vertical="center"/>
    </xf>
    <xf numFmtId="0" fontId="25" fillId="6" borderId="3" xfId="9" applyFont="1" applyFill="1" applyBorder="1" applyAlignment="1">
      <alignment vertical="center"/>
    </xf>
    <xf numFmtId="0" fontId="1" fillId="0" borderId="11" xfId="8" applyBorder="1" applyAlignment="1">
      <alignment horizontal="center" vertical="center"/>
    </xf>
    <xf numFmtId="0" fontId="1" fillId="8" borderId="11" xfId="8" applyFill="1" applyBorder="1" applyAlignment="1">
      <alignment horizontal="center"/>
    </xf>
    <xf numFmtId="0" fontId="1" fillId="8" borderId="11" xfId="0" applyFont="1" applyFill="1" applyBorder="1" applyAlignment="1">
      <alignment horizontal="center" vertical="center"/>
    </xf>
    <xf numFmtId="0" fontId="1" fillId="8"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167" fontId="1" fillId="8" borderId="11" xfId="8" applyNumberFormat="1" applyFill="1" applyBorder="1"/>
    <xf numFmtId="170" fontId="6" fillId="10" borderId="2" xfId="3" applyNumberFormat="1" applyFont="1" applyFill="1" applyBorder="1" applyAlignment="1" applyProtection="1">
      <alignment horizontal="right" vertical="center"/>
      <protection locked="0"/>
    </xf>
    <xf numFmtId="0" fontId="11" fillId="0" borderId="0" xfId="8" applyFont="1" applyAlignment="1">
      <alignment vertical="center"/>
    </xf>
    <xf numFmtId="0" fontId="25" fillId="6" borderId="0" xfId="9" applyFont="1" applyFill="1" applyAlignment="1">
      <alignment vertical="center"/>
    </xf>
    <xf numFmtId="0" fontId="25" fillId="6" borderId="0" xfId="9" applyFont="1" applyFill="1" applyAlignment="1">
      <alignment horizontal="right" vertical="center"/>
    </xf>
    <xf numFmtId="0" fontId="38" fillId="8" borderId="11" xfId="0" applyFont="1" applyFill="1" applyBorder="1" applyAlignment="1">
      <alignment horizontal="center" vertical="center"/>
    </xf>
    <xf numFmtId="0" fontId="28" fillId="6" borderId="30" xfId="8" applyFont="1" applyFill="1" applyBorder="1" applyAlignment="1">
      <alignment horizontal="center"/>
    </xf>
    <xf numFmtId="14" fontId="28" fillId="6" borderId="69" xfId="8" applyNumberFormat="1" applyFont="1" applyFill="1" applyBorder="1" applyAlignment="1">
      <alignment horizontal="center"/>
    </xf>
    <xf numFmtId="0" fontId="3" fillId="9" borderId="70" xfId="8" applyFont="1" applyFill="1" applyBorder="1" applyAlignment="1">
      <alignment horizontal="center"/>
    </xf>
    <xf numFmtId="2" fontId="3" fillId="9" borderId="71" xfId="8" applyNumberFormat="1" applyFont="1" applyFill="1" applyBorder="1" applyAlignment="1">
      <alignment horizontal="center"/>
    </xf>
    <xf numFmtId="0" fontId="3" fillId="0" borderId="70" xfId="8" applyFont="1" applyBorder="1" applyAlignment="1">
      <alignment horizontal="center"/>
    </xf>
    <xf numFmtId="2" fontId="3" fillId="0" borderId="71" xfId="8" applyNumberFormat="1" applyFont="1" applyBorder="1" applyAlignment="1">
      <alignment horizontal="center"/>
    </xf>
    <xf numFmtId="0" fontId="3" fillId="0" borderId="71" xfId="8" applyFont="1" applyBorder="1" applyAlignment="1">
      <alignment horizontal="center"/>
    </xf>
    <xf numFmtId="0" fontId="3" fillId="9" borderId="71" xfId="8" applyFont="1" applyFill="1" applyBorder="1" applyAlignment="1">
      <alignment horizontal="center"/>
    </xf>
    <xf numFmtId="0" fontId="3" fillId="9" borderId="40" xfId="9" applyFont="1" applyFill="1" applyBorder="1" applyAlignment="1">
      <alignment horizontal="center" vertical="center" wrapText="1"/>
    </xf>
    <xf numFmtId="0" fontId="3" fillId="8" borderId="41" xfId="9" applyFont="1" applyFill="1" applyBorder="1" applyAlignment="1">
      <alignment horizontal="center" vertical="center" wrapText="1"/>
    </xf>
    <xf numFmtId="0" fontId="3" fillId="8" borderId="32" xfId="9" applyFont="1" applyFill="1" applyBorder="1" applyAlignment="1">
      <alignment horizontal="center" vertical="center" wrapText="1"/>
    </xf>
    <xf numFmtId="2" fontId="3" fillId="0" borderId="1" xfId="9" applyNumberFormat="1" applyFont="1" applyBorder="1" applyAlignment="1" applyProtection="1">
      <alignment horizontal="center" vertical="center"/>
      <protection locked="0"/>
    </xf>
    <xf numFmtId="0" fontId="26" fillId="6" borderId="29" xfId="9" applyFont="1" applyFill="1" applyBorder="1" applyAlignment="1">
      <alignment horizontal="center" vertical="center" wrapText="1"/>
    </xf>
    <xf numFmtId="0" fontId="26" fillId="6" borderId="72" xfId="9" applyFont="1" applyFill="1" applyBorder="1" applyAlignment="1">
      <alignment horizontal="center" vertical="center" wrapText="1"/>
    </xf>
    <xf numFmtId="14" fontId="8" fillId="0" borderId="15" xfId="8" applyNumberFormat="1" applyFont="1" applyBorder="1" applyAlignment="1">
      <alignment vertical="center"/>
    </xf>
    <xf numFmtId="178" fontId="1" fillId="0" borderId="11" xfId="8" applyNumberFormat="1" applyBorder="1" applyAlignment="1">
      <alignment horizontal="center"/>
    </xf>
    <xf numFmtId="49" fontId="3" fillId="0" borderId="0" xfId="9" applyNumberFormat="1" applyFont="1" applyAlignment="1">
      <alignment vertical="center"/>
    </xf>
    <xf numFmtId="0" fontId="42" fillId="0" borderId="45" xfId="9" applyFont="1" applyBorder="1" applyAlignment="1">
      <alignment vertical="center" wrapText="1"/>
    </xf>
    <xf numFmtId="44" fontId="1" fillId="8" borderId="2" xfId="3" applyFont="1" applyFill="1" applyBorder="1" applyProtection="1">
      <protection locked="0"/>
    </xf>
    <xf numFmtId="2" fontId="3" fillId="9" borderId="11" xfId="8" applyNumberFormat="1" applyFont="1" applyFill="1" applyBorder="1" applyAlignment="1">
      <alignment horizontal="right"/>
    </xf>
    <xf numFmtId="2" fontId="3" fillId="9" borderId="11" xfId="8" applyNumberFormat="1" applyFont="1" applyFill="1" applyBorder="1"/>
    <xf numFmtId="0" fontId="3" fillId="0" borderId="11" xfId="50" applyFont="1" applyBorder="1" applyAlignment="1">
      <alignment horizontal="center"/>
    </xf>
    <xf numFmtId="0" fontId="3" fillId="0" borderId="2" xfId="50" applyFont="1" applyBorder="1" applyAlignment="1">
      <alignment horizontal="center"/>
    </xf>
    <xf numFmtId="0" fontId="3" fillId="0" borderId="0" xfId="50" applyFont="1" applyAlignment="1">
      <alignment horizontal="center"/>
    </xf>
    <xf numFmtId="2" fontId="3" fillId="0" borderId="11" xfId="50" applyNumberFormat="1" applyFont="1" applyBorder="1" applyAlignment="1">
      <alignment horizontal="right"/>
    </xf>
    <xf numFmtId="2" fontId="3" fillId="0" borderId="11" xfId="50" applyNumberFormat="1" applyFont="1" applyBorder="1"/>
    <xf numFmtId="0" fontId="3" fillId="0" borderId="0" xfId="50" applyFont="1" applyAlignment="1">
      <alignment horizontal="right"/>
    </xf>
    <xf numFmtId="2" fontId="3" fillId="9" borderId="11" xfId="50" applyNumberFormat="1" applyFont="1" applyFill="1" applyBorder="1" applyAlignment="1">
      <alignment horizontal="right"/>
    </xf>
    <xf numFmtId="2" fontId="3" fillId="9" borderId="11" xfId="50" applyNumberFormat="1" applyFont="1" applyFill="1" applyBorder="1"/>
    <xf numFmtId="0" fontId="22" fillId="0" borderId="0" xfId="50" applyFont="1"/>
    <xf numFmtId="0" fontId="22" fillId="0" borderId="0" xfId="50" applyFont="1" applyAlignment="1">
      <alignment horizontal="center"/>
    </xf>
    <xf numFmtId="0" fontId="23" fillId="0" borderId="0" xfId="50" applyFont="1" applyAlignment="1">
      <alignment horizontal="left"/>
    </xf>
    <xf numFmtId="0" fontId="23" fillId="0" borderId="0" xfId="50" applyFont="1" applyAlignment="1">
      <alignment horizontal="center"/>
    </xf>
    <xf numFmtId="2" fontId="23" fillId="4" borderId="11" xfId="50" applyNumberFormat="1" applyFont="1" applyFill="1" applyBorder="1"/>
    <xf numFmtId="2" fontId="23" fillId="4" borderId="10" xfId="50" applyNumberFormat="1" applyFont="1" applyFill="1" applyBorder="1" applyAlignment="1">
      <alignment horizontal="right"/>
    </xf>
    <xf numFmtId="0" fontId="12" fillId="0" borderId="0" xfId="50" applyFont="1" applyAlignment="1">
      <alignment horizontal="left"/>
    </xf>
    <xf numFmtId="0" fontId="12" fillId="0" borderId="0" xfId="50" applyFont="1" applyAlignment="1">
      <alignment horizontal="center"/>
    </xf>
    <xf numFmtId="2" fontId="3" fillId="0" borderId="0" xfId="50" applyNumberFormat="1" applyFont="1" applyAlignment="1">
      <alignment horizontal="center"/>
    </xf>
    <xf numFmtId="0" fontId="3" fillId="0" borderId="0" xfId="50" applyFont="1" applyAlignment="1">
      <alignment horizontal="left"/>
    </xf>
    <xf numFmtId="0" fontId="3" fillId="0" borderId="0" xfId="50" applyFont="1"/>
    <xf numFmtId="0" fontId="23" fillId="0" borderId="0" xfId="50" applyFont="1"/>
    <xf numFmtId="2" fontId="22" fillId="2" borderId="11" xfId="50" applyNumberFormat="1" applyFont="1" applyFill="1" applyBorder="1"/>
    <xf numFmtId="2" fontId="22" fillId="2" borderId="10" xfId="50" applyNumberFormat="1" applyFont="1" applyFill="1" applyBorder="1"/>
    <xf numFmtId="0" fontId="3" fillId="12" borderId="0" xfId="50" applyFont="1" applyFill="1"/>
    <xf numFmtId="0" fontId="3" fillId="12" borderId="0" xfId="50" applyFont="1" applyFill="1" applyAlignment="1">
      <alignment horizontal="center"/>
    </xf>
    <xf numFmtId="0" fontId="1" fillId="0" borderId="0" xfId="50"/>
    <xf numFmtId="0" fontId="1" fillId="24" borderId="0" xfId="50" applyFill="1"/>
    <xf numFmtId="0" fontId="1" fillId="13" borderId="11" xfId="50" applyFill="1" applyBorder="1"/>
    <xf numFmtId="0" fontId="7" fillId="0" borderId="0" xfId="50" applyFont="1" applyAlignment="1">
      <alignment horizontal="right"/>
    </xf>
    <xf numFmtId="0" fontId="7" fillId="0" borderId="0" xfId="50" applyFont="1"/>
    <xf numFmtId="0" fontId="1" fillId="13" borderId="0" xfId="50" applyFill="1"/>
    <xf numFmtId="0" fontId="1" fillId="0" borderId="11" xfId="50" applyBorder="1" applyAlignment="1">
      <alignment horizontal="center"/>
    </xf>
    <xf numFmtId="0" fontId="1" fillId="0" borderId="11" xfId="50" applyBorder="1"/>
    <xf numFmtId="16" fontId="1" fillId="13" borderId="0" xfId="50" applyNumberFormat="1" applyFill="1"/>
    <xf numFmtId="0" fontId="7" fillId="13" borderId="0" xfId="50" applyFont="1" applyFill="1"/>
    <xf numFmtId="0" fontId="7" fillId="13" borderId="11" xfId="50" applyFont="1" applyFill="1" applyBorder="1"/>
    <xf numFmtId="2" fontId="3" fillId="0" borderId="0" xfId="50" applyNumberFormat="1" applyFont="1"/>
    <xf numFmtId="0" fontId="8" fillId="12" borderId="73" xfId="13" applyFont="1" applyFill="1" applyBorder="1" applyAlignment="1">
      <alignment vertical="center"/>
    </xf>
    <xf numFmtId="0" fontId="1" fillId="12" borderId="74" xfId="17" applyFill="1" applyBorder="1" applyAlignment="1">
      <alignment vertical="center"/>
    </xf>
    <xf numFmtId="0" fontId="12" fillId="2" borderId="73" xfId="13" applyFont="1" applyFill="1" applyBorder="1" applyAlignment="1">
      <alignment vertical="center"/>
    </xf>
    <xf numFmtId="0" fontId="3" fillId="2" borderId="0" xfId="13" applyFont="1" applyFill="1" applyAlignment="1">
      <alignment vertical="center"/>
    </xf>
    <xf numFmtId="0" fontId="43" fillId="0" borderId="0" xfId="9" applyFont="1"/>
    <xf numFmtId="0" fontId="8" fillId="0" borderId="73" xfId="13" applyFont="1" applyBorder="1" applyAlignment="1">
      <alignment vertical="center"/>
    </xf>
    <xf numFmtId="10" fontId="8" fillId="9" borderId="11" xfId="17" applyNumberFormat="1" applyFont="1" applyFill="1" applyBorder="1" applyAlignment="1">
      <alignment vertical="center"/>
    </xf>
    <xf numFmtId="0" fontId="8" fillId="9" borderId="11" xfId="17" applyFont="1" applyFill="1" applyBorder="1" applyAlignment="1">
      <alignment vertical="center"/>
    </xf>
    <xf numFmtId="0" fontId="1" fillId="0" borderId="74" xfId="17" applyBorder="1" applyAlignment="1">
      <alignment vertical="center"/>
    </xf>
    <xf numFmtId="0" fontId="15" fillId="0" borderId="73" xfId="17" applyFont="1" applyBorder="1" applyAlignment="1">
      <alignment vertical="center"/>
    </xf>
    <xf numFmtId="44" fontId="1" fillId="9" borderId="0" xfId="14" applyFont="1" applyFill="1" applyAlignment="1">
      <alignment vertical="center"/>
    </xf>
    <xf numFmtId="0" fontId="6" fillId="0" borderId="73" xfId="17" applyFont="1" applyBorder="1" applyAlignment="1">
      <alignment vertical="center"/>
    </xf>
    <xf numFmtId="0" fontId="8" fillId="0" borderId="73" xfId="17" applyFont="1" applyBorder="1" applyAlignment="1">
      <alignment vertical="center"/>
    </xf>
    <xf numFmtId="0" fontId="18" fillId="0" borderId="73" xfId="17" applyFont="1" applyBorder="1" applyAlignment="1">
      <alignment vertical="center"/>
    </xf>
    <xf numFmtId="0" fontId="8" fillId="0" borderId="74" xfId="17" applyFont="1" applyBorder="1" applyAlignment="1">
      <alignment vertical="center"/>
    </xf>
    <xf numFmtId="10" fontId="8" fillId="0" borderId="2" xfId="18" applyNumberFormat="1" applyFont="1" applyFill="1" applyBorder="1" applyAlignment="1" applyProtection="1">
      <alignment horizontal="right" vertical="center"/>
      <protection locked="0"/>
    </xf>
    <xf numFmtId="0" fontId="15" fillId="0" borderId="73" xfId="17" applyFont="1" applyBorder="1" applyAlignment="1">
      <alignment horizontal="left" vertical="center"/>
    </xf>
    <xf numFmtId="2" fontId="1" fillId="0" borderId="74" xfId="17" applyNumberFormat="1" applyBorder="1" applyAlignment="1">
      <alignment vertical="center"/>
    </xf>
    <xf numFmtId="0" fontId="33" fillId="0" borderId="73" xfId="17" applyFont="1" applyBorder="1" applyAlignment="1">
      <alignment vertical="center"/>
    </xf>
    <xf numFmtId="170" fontId="8" fillId="9" borderId="0" xfId="3" applyNumberFormat="1" applyFont="1" applyFill="1" applyBorder="1" applyAlignment="1">
      <alignment horizontal="right" vertical="center"/>
    </xf>
    <xf numFmtId="170" fontId="8" fillId="9" borderId="11" xfId="3" applyNumberFormat="1" applyFont="1" applyFill="1" applyBorder="1" applyAlignment="1">
      <alignment horizontal="right" vertical="center"/>
    </xf>
    <xf numFmtId="0" fontId="34" fillId="0" borderId="73" xfId="17" applyFont="1" applyBorder="1" applyAlignment="1">
      <alignment vertical="center"/>
    </xf>
    <xf numFmtId="10" fontId="8" fillId="9" borderId="2" xfId="18" applyNumberFormat="1" applyFont="1" applyFill="1" applyBorder="1" applyAlignment="1" applyProtection="1">
      <alignment horizontal="right" vertical="center"/>
      <protection locked="0"/>
    </xf>
    <xf numFmtId="17" fontId="34" fillId="0" borderId="73" xfId="17" applyNumberFormat="1" applyFont="1" applyBorder="1" applyAlignment="1">
      <alignment vertical="center"/>
    </xf>
    <xf numFmtId="170" fontId="16" fillId="0" borderId="14" xfId="3" applyNumberFormat="1" applyFont="1" applyFill="1" applyBorder="1" applyAlignment="1">
      <alignment horizontal="right" vertical="center"/>
    </xf>
    <xf numFmtId="0" fontId="1" fillId="12" borderId="73" xfId="17" applyFill="1" applyBorder="1" applyAlignment="1">
      <alignment vertical="center"/>
    </xf>
    <xf numFmtId="0" fontId="8" fillId="0" borderId="0" xfId="17" applyFont="1" applyAlignment="1">
      <alignment horizontal="right" vertical="center"/>
    </xf>
    <xf numFmtId="10" fontId="16" fillId="0" borderId="2" xfId="18" applyNumberFormat="1" applyFont="1" applyFill="1" applyBorder="1" applyAlignment="1" applyProtection="1">
      <alignment horizontal="right" vertical="center"/>
      <protection locked="0"/>
    </xf>
    <xf numFmtId="168" fontId="29" fillId="0" borderId="11" xfId="9" applyNumberFormat="1" applyFont="1" applyBorder="1" applyAlignment="1">
      <alignment vertical="center"/>
    </xf>
    <xf numFmtId="14" fontId="1" fillId="0" borderId="0" xfId="17" applyNumberFormat="1"/>
    <xf numFmtId="10" fontId="6" fillId="9" borderId="11" xfId="51" applyNumberFormat="1" applyFont="1" applyFill="1" applyBorder="1" applyAlignment="1" applyProtection="1">
      <alignment horizontal="right" vertical="center"/>
      <protection locked="0"/>
    </xf>
    <xf numFmtId="0" fontId="1" fillId="0" borderId="76" xfId="9" applyBorder="1"/>
    <xf numFmtId="0" fontId="1" fillId="0" borderId="77" xfId="17" applyBorder="1" applyAlignment="1">
      <alignment vertical="center"/>
    </xf>
    <xf numFmtId="0" fontId="8" fillId="0" borderId="0" xfId="8" applyFont="1"/>
    <xf numFmtId="0" fontId="45" fillId="6" borderId="2" xfId="8" applyFont="1" applyFill="1" applyBorder="1" applyAlignment="1">
      <alignment horizontal="center" wrapText="1"/>
    </xf>
    <xf numFmtId="1" fontId="1" fillId="0" borderId="0" xfId="8" applyNumberFormat="1" applyAlignment="1" applyProtection="1">
      <alignment horizontal="center"/>
      <protection locked="0"/>
    </xf>
    <xf numFmtId="0" fontId="1" fillId="9" borderId="11" xfId="8" applyFill="1" applyBorder="1" applyAlignment="1">
      <alignment horizontal="center" wrapText="1"/>
    </xf>
    <xf numFmtId="2" fontId="1" fillId="3" borderId="11" xfId="2" applyNumberFormat="1" applyFont="1" applyFill="1" applyBorder="1" applyAlignment="1" applyProtection="1">
      <alignment horizontal="center"/>
      <protection locked="0"/>
    </xf>
    <xf numFmtId="44" fontId="1" fillId="3" borderId="11" xfId="2" applyFont="1" applyFill="1" applyBorder="1" applyAlignment="1" applyProtection="1">
      <alignment horizontal="center"/>
      <protection locked="0"/>
    </xf>
    <xf numFmtId="169" fontId="8" fillId="0" borderId="2" xfId="18" applyNumberFormat="1" applyFont="1" applyFill="1" applyBorder="1" applyAlignment="1" applyProtection="1">
      <alignment horizontal="right" vertical="center"/>
      <protection locked="0"/>
    </xf>
    <xf numFmtId="1" fontId="8" fillId="0" borderId="0" xfId="8" applyNumberFormat="1" applyFont="1" applyAlignment="1">
      <alignment horizontal="right" vertical="center" indent="1"/>
    </xf>
    <xf numFmtId="44" fontId="8" fillId="9" borderId="0" xfId="14" applyFont="1" applyFill="1" applyAlignment="1">
      <alignment vertical="center"/>
    </xf>
    <xf numFmtId="169" fontId="8" fillId="10" borderId="2" xfId="18" applyNumberFormat="1" applyFont="1" applyFill="1" applyBorder="1" applyAlignment="1" applyProtection="1">
      <alignment horizontal="right" vertical="center"/>
      <protection locked="0"/>
    </xf>
    <xf numFmtId="44" fontId="25" fillId="6" borderId="16" xfId="3" applyFont="1" applyFill="1" applyBorder="1" applyAlignment="1">
      <alignment horizontal="center" vertical="center" wrapText="1"/>
    </xf>
    <xf numFmtId="0" fontId="24" fillId="0" borderId="11" xfId="0" applyFont="1" applyBorder="1" applyAlignment="1">
      <alignment horizontal="center" vertical="center"/>
    </xf>
    <xf numFmtId="0" fontId="24" fillId="0" borderId="11" xfId="0" applyFont="1" applyBorder="1" applyAlignment="1">
      <alignment horizontal="center" vertical="center" wrapText="1"/>
    </xf>
    <xf numFmtId="0" fontId="1" fillId="0" borderId="0" xfId="9" applyAlignment="1">
      <alignment horizontal="center"/>
    </xf>
    <xf numFmtId="0" fontId="48" fillId="0" borderId="0" xfId="9" applyFont="1"/>
    <xf numFmtId="0" fontId="49" fillId="0" borderId="0" xfId="8" applyFont="1" applyAlignment="1">
      <alignment vertical="center"/>
    </xf>
    <xf numFmtId="0" fontId="1" fillId="0" borderId="11" xfId="8" applyBorder="1" applyAlignment="1">
      <alignment horizontal="center" vertical="center" wrapText="1"/>
    </xf>
    <xf numFmtId="173" fontId="8" fillId="10" borderId="11" xfId="9" applyNumberFormat="1" applyFont="1" applyFill="1" applyBorder="1"/>
    <xf numFmtId="44" fontId="1" fillId="8" borderId="0" xfId="3" applyFont="1" applyFill="1" applyBorder="1" applyProtection="1">
      <protection locked="0"/>
    </xf>
    <xf numFmtId="0" fontId="31" fillId="0" borderId="0" xfId="17" applyFont="1" applyAlignment="1">
      <alignment vertical="center"/>
    </xf>
    <xf numFmtId="0" fontId="47" fillId="0" borderId="0" xfId="8" applyFont="1" applyAlignment="1">
      <alignment horizontal="left" vertical="center"/>
    </xf>
    <xf numFmtId="0" fontId="1" fillId="25" borderId="11" xfId="8" applyFill="1" applyBorder="1" applyAlignment="1">
      <alignment horizontal="center"/>
    </xf>
    <xf numFmtId="0" fontId="1" fillId="26" borderId="11" xfId="8" applyFill="1" applyBorder="1" applyAlignment="1">
      <alignment horizontal="center"/>
    </xf>
    <xf numFmtId="0" fontId="51" fillId="6" borderId="29" xfId="9" applyFont="1" applyFill="1" applyBorder="1" applyAlignment="1">
      <alignment horizontal="center" vertical="center" wrapText="1"/>
    </xf>
    <xf numFmtId="2" fontId="8" fillId="27" borderId="1" xfId="9" applyNumberFormat="1" applyFont="1" applyFill="1" applyBorder="1" applyAlignment="1" applyProtection="1">
      <alignment horizontal="center" vertical="center"/>
      <protection locked="0"/>
    </xf>
    <xf numFmtId="0" fontId="3" fillId="8" borderId="12" xfId="9" applyFont="1" applyFill="1" applyBorder="1" applyAlignment="1">
      <alignment vertical="center" wrapText="1"/>
    </xf>
    <xf numFmtId="0" fontId="47" fillId="8" borderId="0" xfId="8" applyFont="1" applyFill="1" applyAlignment="1">
      <alignment vertical="center"/>
    </xf>
    <xf numFmtId="0" fontId="5" fillId="0" borderId="0" xfId="9" applyFont="1" applyAlignment="1">
      <alignment wrapText="1"/>
    </xf>
    <xf numFmtId="0" fontId="52" fillId="0" borderId="0" xfId="9" applyFont="1" applyAlignment="1">
      <alignment vertical="center" wrapText="1"/>
    </xf>
    <xf numFmtId="0" fontId="5" fillId="0" borderId="0" xfId="9" applyFont="1" applyAlignment="1">
      <alignment vertical="center"/>
    </xf>
    <xf numFmtId="0" fontId="53" fillId="0" borderId="0" xfId="9" applyFont="1" applyAlignment="1">
      <alignment vertical="center"/>
    </xf>
    <xf numFmtId="0" fontId="54" fillId="12" borderId="78" xfId="9" applyFont="1" applyFill="1" applyBorder="1" applyAlignment="1">
      <alignment vertical="center" wrapText="1"/>
    </xf>
    <xf numFmtId="0" fontId="55" fillId="0" borderId="0" xfId="9" applyFont="1" applyAlignment="1">
      <alignment vertical="center" wrapText="1"/>
    </xf>
    <xf numFmtId="0" fontId="5" fillId="0" borderId="79" xfId="9" applyFont="1" applyBorder="1" applyAlignment="1">
      <alignment horizontal="center" vertical="center"/>
    </xf>
    <xf numFmtId="0" fontId="3" fillId="0" borderId="80" xfId="9" applyFont="1" applyBorder="1" applyAlignment="1">
      <alignment vertical="center"/>
    </xf>
    <xf numFmtId="0" fontId="3" fillId="0" borderId="81" xfId="9" applyFont="1" applyBorder="1" applyAlignment="1">
      <alignment vertical="center"/>
    </xf>
    <xf numFmtId="0" fontId="3" fillId="0" borderId="81" xfId="9" applyFont="1" applyBorder="1" applyAlignment="1">
      <alignment vertical="center" wrapText="1"/>
    </xf>
    <xf numFmtId="0" fontId="3" fillId="0" borderId="85" xfId="9" applyFont="1" applyBorder="1" applyAlignment="1">
      <alignment vertical="center"/>
    </xf>
    <xf numFmtId="0" fontId="56" fillId="0" borderId="0" xfId="9" applyFont="1" applyAlignment="1">
      <alignment horizontal="center" vertical="center"/>
    </xf>
    <xf numFmtId="0" fontId="3" fillId="0" borderId="86" xfId="9" applyFont="1" applyBorder="1" applyAlignment="1">
      <alignment vertical="center"/>
    </xf>
    <xf numFmtId="0" fontId="3" fillId="0" borderId="87" xfId="9" applyFont="1" applyBorder="1" applyAlignment="1">
      <alignment vertical="center"/>
    </xf>
    <xf numFmtId="0" fontId="3" fillId="0" borderId="88" xfId="9" applyFont="1" applyBorder="1" applyAlignment="1">
      <alignment vertical="center"/>
    </xf>
    <xf numFmtId="0" fontId="56" fillId="0" borderId="0" xfId="9" applyFont="1" applyAlignment="1">
      <alignment vertical="center"/>
    </xf>
    <xf numFmtId="0" fontId="5" fillId="0" borderId="0" xfId="9" applyFont="1" applyAlignment="1">
      <alignment horizontal="center" vertical="center"/>
    </xf>
    <xf numFmtId="0" fontId="57" fillId="0" borderId="0" xfId="9" applyFont="1" applyAlignment="1">
      <alignment vertical="center"/>
    </xf>
    <xf numFmtId="0" fontId="55" fillId="0" borderId="89" xfId="9" applyFont="1" applyBorder="1" applyAlignment="1">
      <alignment horizontal="center" vertical="center" wrapText="1"/>
    </xf>
    <xf numFmtId="0" fontId="3" fillId="0" borderId="0" xfId="9" applyFont="1" applyAlignment="1">
      <alignment vertical="center"/>
    </xf>
    <xf numFmtId="0" fontId="5" fillId="0" borderId="90" xfId="9" applyFont="1" applyBorder="1" applyAlignment="1">
      <alignment horizontal="center" vertical="center"/>
    </xf>
    <xf numFmtId="0" fontId="3" fillId="0" borderId="91" xfId="9" applyFont="1" applyBorder="1" applyAlignment="1">
      <alignment vertical="center"/>
    </xf>
    <xf numFmtId="0" fontId="3" fillId="0" borderId="92" xfId="9" applyFont="1" applyBorder="1" applyAlignment="1">
      <alignment vertical="center"/>
    </xf>
    <xf numFmtId="0" fontId="3" fillId="0" borderId="92" xfId="9" applyFont="1" applyBorder="1" applyAlignment="1">
      <alignment vertical="center" wrapText="1"/>
    </xf>
    <xf numFmtId="0" fontId="3" fillId="0" borderId="81" xfId="9" applyFont="1" applyBorder="1" applyAlignment="1">
      <alignment horizontal="left" vertical="center" wrapText="1"/>
    </xf>
    <xf numFmtId="0" fontId="7" fillId="2" borderId="0" xfId="11" applyFont="1" applyFill="1" applyAlignment="1">
      <alignment horizontal="center" vertical="center" wrapText="1"/>
    </xf>
    <xf numFmtId="0" fontId="58" fillId="0" borderId="0" xfId="9" applyFont="1" applyAlignment="1">
      <alignment horizontal="left" vertical="center" wrapText="1"/>
    </xf>
    <xf numFmtId="0" fontId="52" fillId="0" borderId="0" xfId="9" applyFont="1" applyAlignment="1">
      <alignment vertical="top" wrapText="1"/>
    </xf>
    <xf numFmtId="0" fontId="3" fillId="12" borderId="0" xfId="9" applyFont="1" applyFill="1" applyAlignment="1">
      <alignment vertical="center" wrapText="1"/>
    </xf>
    <xf numFmtId="0" fontId="5" fillId="12" borderId="0" xfId="9" applyFont="1" applyFill="1" applyAlignment="1">
      <alignment vertical="center"/>
    </xf>
    <xf numFmtId="0" fontId="59" fillId="0" borderId="0" xfId="9" applyFont="1" applyAlignment="1">
      <alignment horizontal="left" vertical="center"/>
    </xf>
    <xf numFmtId="0" fontId="22" fillId="9" borderId="0" xfId="50" applyFont="1" applyFill="1"/>
    <xf numFmtId="0" fontId="22" fillId="9" borderId="0" xfId="50" applyFont="1" applyFill="1" applyAlignment="1">
      <alignment horizontal="center"/>
    </xf>
    <xf numFmtId="0" fontId="23" fillId="9" borderId="0" xfId="50" applyFont="1" applyFill="1"/>
    <xf numFmtId="0" fontId="23" fillId="9" borderId="0" xfId="50" applyFont="1" applyFill="1" applyAlignment="1">
      <alignment horizontal="center"/>
    </xf>
    <xf numFmtId="2" fontId="8" fillId="9" borderId="93" xfId="50" applyNumberFormat="1" applyFont="1" applyFill="1" applyBorder="1"/>
    <xf numFmtId="172" fontId="21" fillId="0" borderId="17" xfId="3" applyNumberFormat="1" applyFont="1" applyFill="1" applyBorder="1" applyAlignment="1">
      <alignment horizontal="center" vertical="center"/>
    </xf>
    <xf numFmtId="0" fontId="25" fillId="6" borderId="94" xfId="9" applyFont="1" applyFill="1" applyBorder="1" applyAlignment="1">
      <alignment vertical="center"/>
    </xf>
    <xf numFmtId="0" fontId="25" fillId="6" borderId="93" xfId="8" applyFont="1" applyFill="1" applyBorder="1" applyAlignment="1">
      <alignment horizontal="center" vertical="center" wrapText="1"/>
    </xf>
    <xf numFmtId="0" fontId="1" fillId="0" borderId="93" xfId="8" applyBorder="1" applyAlignment="1">
      <alignment horizontal="center" vertical="center"/>
    </xf>
    <xf numFmtId="0" fontId="1" fillId="26" borderId="11" xfId="8" applyFill="1" applyBorder="1" applyAlignment="1">
      <alignment horizontal="center" vertical="center"/>
    </xf>
    <xf numFmtId="167" fontId="25" fillId="6" borderId="93" xfId="8" applyNumberFormat="1" applyFont="1" applyFill="1" applyBorder="1" applyAlignment="1">
      <alignment horizontal="center" vertical="center" wrapText="1"/>
    </xf>
    <xf numFmtId="14" fontId="1" fillId="0" borderId="0" xfId="0" applyNumberFormat="1" applyFont="1" applyProtection="1">
      <protection locked="0"/>
    </xf>
    <xf numFmtId="44" fontId="25" fillId="6" borderId="95" xfId="14" applyFont="1" applyFill="1" applyBorder="1" applyAlignment="1" applyProtection="1">
      <alignment horizontal="center" vertical="center" wrapText="1"/>
      <protection locked="0"/>
    </xf>
    <xf numFmtId="14" fontId="61" fillId="10" borderId="96" xfId="0" applyNumberFormat="1" applyFont="1" applyFill="1" applyBorder="1" applyAlignment="1" applyProtection="1">
      <alignment horizontal="center" textRotation="90"/>
      <protection locked="0"/>
    </xf>
    <xf numFmtId="14" fontId="60" fillId="0" borderId="96" xfId="0" applyNumberFormat="1" applyFont="1" applyBorder="1" applyAlignment="1" applyProtection="1">
      <alignment horizontal="center" textRotation="90"/>
      <protection locked="0"/>
    </xf>
    <xf numFmtId="0" fontId="1" fillId="25" borderId="96" xfId="0" applyFont="1" applyFill="1" applyBorder="1" applyAlignment="1" applyProtection="1">
      <alignment horizontal="center" textRotation="90"/>
      <protection locked="0"/>
    </xf>
    <xf numFmtId="0" fontId="1" fillId="0" borderId="96" xfId="0" applyFont="1" applyBorder="1" applyAlignment="1" applyProtection="1">
      <alignment horizontal="center" textRotation="90"/>
      <protection locked="0"/>
    </xf>
    <xf numFmtId="0" fontId="1" fillId="0" borderId="97" xfId="0" applyFont="1" applyBorder="1" applyAlignment="1" applyProtection="1">
      <alignment horizontal="center" textRotation="90"/>
      <protection locked="0"/>
    </xf>
    <xf numFmtId="0" fontId="7" fillId="26" borderId="93" xfId="8" applyFont="1" applyFill="1" applyBorder="1" applyAlignment="1">
      <alignment horizontal="center" vertical="center" wrapText="1"/>
    </xf>
    <xf numFmtId="0" fontId="7" fillId="27" borderId="93" xfId="8" applyFont="1" applyFill="1" applyBorder="1" applyAlignment="1">
      <alignment horizontal="center" vertical="center" wrapText="1"/>
    </xf>
    <xf numFmtId="0" fontId="1" fillId="0" borderId="0" xfId="8" applyAlignment="1">
      <alignment vertical="center"/>
    </xf>
    <xf numFmtId="0" fontId="1" fillId="0" borderId="96" xfId="8" applyBorder="1" applyAlignment="1">
      <alignment vertical="center"/>
    </xf>
    <xf numFmtId="0" fontId="1" fillId="0" borderId="97" xfId="8" applyBorder="1" applyAlignment="1">
      <alignment vertical="center"/>
    </xf>
    <xf numFmtId="0" fontId="1" fillId="26" borderId="93" xfId="8" applyFill="1" applyBorder="1" applyAlignment="1">
      <alignment vertical="center"/>
    </xf>
    <xf numFmtId="0" fontId="1" fillId="6" borderId="0" xfId="8" applyFill="1" applyAlignment="1">
      <alignment vertical="center"/>
    </xf>
    <xf numFmtId="1" fontId="1" fillId="0" borderId="0" xfId="8" applyNumberFormat="1" applyAlignment="1">
      <alignment horizontal="center"/>
    </xf>
    <xf numFmtId="0" fontId="1" fillId="0" borderId="0" xfId="8" applyAlignment="1">
      <alignment horizontal="center"/>
    </xf>
    <xf numFmtId="44" fontId="1" fillId="27" borderId="93" xfId="8" applyNumberFormat="1" applyFill="1" applyBorder="1" applyAlignment="1">
      <alignment vertical="center"/>
    </xf>
    <xf numFmtId="44" fontId="26" fillId="6" borderId="0" xfId="8" applyNumberFormat="1" applyFont="1" applyFill="1" applyAlignment="1">
      <alignment vertical="center"/>
    </xf>
    <xf numFmtId="0" fontId="7" fillId="28" borderId="0" xfId="50" applyFont="1" applyFill="1"/>
    <xf numFmtId="0" fontId="1" fillId="28" borderId="0" xfId="50" applyFill="1"/>
    <xf numFmtId="2" fontId="8" fillId="9" borderId="94" xfId="50" applyNumberFormat="1" applyFont="1" applyFill="1" applyBorder="1" applyAlignment="1">
      <alignment vertical="center"/>
    </xf>
    <xf numFmtId="2" fontId="8" fillId="9" borderId="17" xfId="50" applyNumberFormat="1" applyFont="1" applyFill="1" applyBorder="1" applyAlignment="1">
      <alignment vertical="center"/>
    </xf>
    <xf numFmtId="0" fontId="1" fillId="9" borderId="0" xfId="50" applyFill="1"/>
    <xf numFmtId="2" fontId="1" fillId="0" borderId="93" xfId="50" applyNumberFormat="1" applyBorder="1"/>
    <xf numFmtId="179" fontId="1" fillId="0" borderId="93" xfId="8" applyNumberFormat="1" applyBorder="1" applyAlignment="1" applyProtection="1">
      <alignment horizontal="center"/>
      <protection locked="0"/>
    </xf>
    <xf numFmtId="2" fontId="26" fillId="6" borderId="0" xfId="8" applyNumberFormat="1" applyFont="1" applyFill="1" applyAlignment="1">
      <alignment vertical="center"/>
    </xf>
    <xf numFmtId="176" fontId="25" fillId="6" borderId="37" xfId="9" applyNumberFormat="1" applyFont="1" applyFill="1" applyBorder="1" applyAlignment="1">
      <alignment horizontal="center" vertical="center" wrapText="1"/>
    </xf>
    <xf numFmtId="176" fontId="7" fillId="9" borderId="11" xfId="9" applyNumberFormat="1" applyFont="1" applyFill="1" applyBorder="1" applyAlignment="1">
      <alignment horizontal="center" vertical="center"/>
    </xf>
    <xf numFmtId="174" fontId="7" fillId="9" borderId="11" xfId="9" applyNumberFormat="1" applyFont="1" applyFill="1" applyBorder="1" applyAlignment="1">
      <alignment horizontal="center" vertical="center" wrapText="1"/>
    </xf>
    <xf numFmtId="2" fontId="1" fillId="26" borderId="93" xfId="8" applyNumberFormat="1" applyFill="1" applyBorder="1" applyAlignment="1">
      <alignment vertical="center"/>
    </xf>
    <xf numFmtId="0" fontId="3" fillId="0" borderId="8" xfId="8" applyFont="1" applyBorder="1" applyAlignment="1">
      <alignment horizontal="center"/>
    </xf>
    <xf numFmtId="0" fontId="3" fillId="0" borderId="98" xfId="8" applyFont="1" applyBorder="1" applyAlignment="1">
      <alignment horizontal="center"/>
    </xf>
    <xf numFmtId="0" fontId="1" fillId="0" borderId="7" xfId="8" applyBorder="1"/>
    <xf numFmtId="0" fontId="3" fillId="0" borderId="99" xfId="8" applyFont="1" applyBorder="1" applyAlignment="1">
      <alignment horizontal="center"/>
    </xf>
    <xf numFmtId="0" fontId="3" fillId="0" borderId="100" xfId="8" applyFont="1" applyBorder="1" applyAlignment="1">
      <alignment horizontal="center"/>
    </xf>
    <xf numFmtId="0" fontId="45" fillId="6" borderId="0" xfId="9" applyFont="1" applyFill="1" applyAlignment="1">
      <alignment vertical="center" wrapText="1"/>
    </xf>
    <xf numFmtId="0" fontId="45" fillId="6" borderId="0" xfId="9" applyFont="1" applyFill="1" applyAlignment="1">
      <alignment horizontal="center" vertical="center" wrapText="1"/>
    </xf>
    <xf numFmtId="0" fontId="7" fillId="9" borderId="3" xfId="11" applyFont="1" applyFill="1" applyBorder="1" applyAlignment="1">
      <alignment horizontal="left" vertical="center" wrapText="1"/>
    </xf>
    <xf numFmtId="0" fontId="7" fillId="9" borderId="4" xfId="11" applyFont="1" applyFill="1" applyBorder="1" applyAlignment="1">
      <alignment horizontal="center" vertical="center" wrapText="1"/>
    </xf>
    <xf numFmtId="0" fontId="6" fillId="9" borderId="0" xfId="9" applyFont="1" applyFill="1"/>
    <xf numFmtId="166" fontId="6" fillId="9" borderId="0" xfId="3" applyNumberFormat="1" applyFont="1" applyFill="1" applyBorder="1" applyProtection="1"/>
    <xf numFmtId="168" fontId="6" fillId="9" borderId="2" xfId="3" applyNumberFormat="1" applyFont="1" applyFill="1" applyBorder="1" applyProtection="1"/>
    <xf numFmtId="0" fontId="6" fillId="7" borderId="0" xfId="9" applyFont="1" applyFill="1"/>
    <xf numFmtId="166" fontId="6" fillId="7" borderId="0" xfId="3" applyNumberFormat="1" applyFont="1" applyFill="1" applyBorder="1" applyProtection="1"/>
    <xf numFmtId="168" fontId="6" fillId="7" borderId="2" xfId="3" applyNumberFormat="1" applyFont="1" applyFill="1" applyBorder="1" applyProtection="1"/>
    <xf numFmtId="0" fontId="7" fillId="11" borderId="3" xfId="11" applyFont="1" applyFill="1" applyBorder="1" applyAlignment="1">
      <alignment horizontal="left" vertical="center" wrapText="1"/>
    </xf>
    <xf numFmtId="0" fontId="7" fillId="11" borderId="3" xfId="11" applyFont="1" applyFill="1" applyBorder="1" applyAlignment="1">
      <alignment horizontal="center" vertical="center" wrapText="1"/>
    </xf>
    <xf numFmtId="0" fontId="7" fillId="11" borderId="4" xfId="11" applyFont="1" applyFill="1" applyBorder="1" applyAlignment="1">
      <alignment horizontal="center" vertical="center" wrapText="1"/>
    </xf>
    <xf numFmtId="0" fontId="45" fillId="29" borderId="0" xfId="9" applyFont="1" applyFill="1"/>
    <xf numFmtId="166" fontId="45" fillId="29" borderId="0" xfId="3" applyNumberFormat="1" applyFont="1" applyFill="1" applyBorder="1" applyProtection="1"/>
    <xf numFmtId="168" fontId="45" fillId="29" borderId="2" xfId="3" applyNumberFormat="1" applyFont="1" applyFill="1" applyBorder="1" applyProtection="1"/>
    <xf numFmtId="0" fontId="25" fillId="29" borderId="3" xfId="11" applyFont="1" applyFill="1" applyBorder="1" applyAlignment="1">
      <alignment horizontal="center" vertical="center" wrapText="1"/>
    </xf>
    <xf numFmtId="0" fontId="45" fillId="29" borderId="3" xfId="11" applyFont="1" applyFill="1" applyBorder="1" applyAlignment="1">
      <alignment horizontal="center" vertical="center" wrapText="1"/>
    </xf>
    <xf numFmtId="0" fontId="45" fillId="29" borderId="4" xfId="11" applyFont="1" applyFill="1" applyBorder="1" applyAlignment="1">
      <alignment horizontal="center" vertical="center" wrapText="1"/>
    </xf>
    <xf numFmtId="4" fontId="1" fillId="7" borderId="2" xfId="9" applyNumberFormat="1" applyFill="1" applyBorder="1" applyProtection="1">
      <protection locked="0"/>
    </xf>
    <xf numFmtId="4" fontId="1" fillId="9" borderId="2" xfId="9" applyNumberFormat="1" applyFill="1" applyBorder="1" applyProtection="1">
      <protection locked="0"/>
    </xf>
    <xf numFmtId="4" fontId="1" fillId="0" borderId="93" xfId="9" applyNumberFormat="1" applyBorder="1"/>
    <xf numFmtId="0" fontId="8" fillId="27" borderId="0" xfId="9" applyFont="1" applyFill="1"/>
    <xf numFmtId="0" fontId="8" fillId="27" borderId="0" xfId="8" applyFont="1" applyFill="1"/>
    <xf numFmtId="0" fontId="1" fillId="0" borderId="21" xfId="0" applyFont="1" applyBorder="1" applyAlignment="1">
      <alignment horizontal="center" vertical="center" wrapText="1"/>
    </xf>
    <xf numFmtId="0" fontId="25" fillId="6" borderId="0" xfId="9" applyFont="1" applyFill="1" applyAlignment="1">
      <alignment vertical="center" wrapText="1"/>
    </xf>
    <xf numFmtId="0" fontId="1" fillId="25" borderId="11" xfId="8" applyFill="1" applyBorder="1" applyAlignment="1">
      <alignment horizontal="center" vertical="center"/>
    </xf>
    <xf numFmtId="0" fontId="62" fillId="0" borderId="45" xfId="9" applyFont="1" applyBorder="1" applyAlignment="1">
      <alignment vertical="center" wrapText="1"/>
    </xf>
    <xf numFmtId="0" fontId="3" fillId="9" borderId="102" xfId="9" applyFont="1" applyFill="1" applyBorder="1" applyAlignment="1">
      <alignment horizontal="center" vertical="center" wrapText="1"/>
    </xf>
    <xf numFmtId="0" fontId="3" fillId="9" borderId="103" xfId="9" applyFont="1" applyFill="1" applyBorder="1" applyAlignment="1">
      <alignment horizontal="center" vertical="center" wrapText="1"/>
    </xf>
    <xf numFmtId="0" fontId="3" fillId="9" borderId="104" xfId="9" applyFont="1" applyFill="1" applyBorder="1" applyAlignment="1">
      <alignment horizontal="center" vertical="center" wrapText="1"/>
    </xf>
    <xf numFmtId="0" fontId="3" fillId="0" borderId="85" xfId="9" applyFont="1" applyBorder="1" applyAlignment="1">
      <alignment vertical="center" wrapText="1"/>
    </xf>
    <xf numFmtId="0" fontId="3" fillId="0" borderId="84" xfId="9" applyFont="1" applyBorder="1" applyAlignment="1">
      <alignment vertical="center" wrapText="1"/>
    </xf>
    <xf numFmtId="0" fontId="1" fillId="0" borderId="11" xfId="8" applyBorder="1" applyAlignment="1">
      <alignment horizontal="left" vertical="center" wrapText="1"/>
    </xf>
    <xf numFmtId="0" fontId="1" fillId="8" borderId="11" xfId="8" applyFill="1" applyBorder="1" applyAlignment="1">
      <alignment horizontal="left" wrapText="1"/>
    </xf>
    <xf numFmtId="0" fontId="3" fillId="8" borderId="5" xfId="8" applyFont="1" applyFill="1" applyBorder="1" applyAlignment="1">
      <alignment horizontal="center"/>
    </xf>
    <xf numFmtId="0" fontId="3" fillId="8" borderId="40" xfId="8" applyFont="1" applyFill="1" applyBorder="1" applyAlignment="1">
      <alignment horizontal="center"/>
    </xf>
    <xf numFmtId="0" fontId="1" fillId="8" borderId="0" xfId="8" applyFill="1"/>
    <xf numFmtId="4" fontId="1" fillId="0" borderId="0" xfId="9" applyNumberFormat="1"/>
    <xf numFmtId="1" fontId="1" fillId="3" borderId="0" xfId="9" applyNumberFormat="1" applyFill="1" applyAlignment="1" applyProtection="1">
      <alignment horizontal="center"/>
      <protection locked="0"/>
    </xf>
    <xf numFmtId="44" fontId="1" fillId="0" borderId="11" xfId="3" applyFont="1" applyFill="1" applyBorder="1" applyAlignment="1" applyProtection="1">
      <protection locked="0"/>
    </xf>
    <xf numFmtId="44" fontId="1" fillId="0" borderId="11" xfId="3" applyFont="1" applyFill="1" applyBorder="1" applyAlignment="1" applyProtection="1">
      <alignment vertical="center"/>
      <protection locked="0"/>
    </xf>
    <xf numFmtId="1" fontId="1" fillId="27" borderId="11" xfId="8" applyNumberFormat="1" applyFill="1" applyBorder="1" applyAlignment="1" applyProtection="1">
      <alignment horizontal="center" vertical="center"/>
      <protection locked="0"/>
    </xf>
    <xf numFmtId="0" fontId="66" fillId="0" borderId="0" xfId="17" applyFont="1" applyAlignment="1">
      <alignment horizontal="right" vertical="center" wrapText="1"/>
    </xf>
    <xf numFmtId="44" fontId="1" fillId="0" borderId="0" xfId="9" applyNumberFormat="1"/>
    <xf numFmtId="0" fontId="3" fillId="5" borderId="0" xfId="8" applyFont="1" applyFill="1" applyAlignment="1" applyProtection="1">
      <alignment wrapText="1"/>
      <protection locked="0"/>
    </xf>
    <xf numFmtId="167" fontId="25" fillId="6" borderId="101" xfId="8" applyNumberFormat="1" applyFont="1" applyFill="1" applyBorder="1" applyAlignment="1">
      <alignment horizontal="center" vertical="center" wrapText="1"/>
    </xf>
    <xf numFmtId="0" fontId="3" fillId="0" borderId="35" xfId="9" applyFont="1" applyBorder="1" applyAlignment="1">
      <alignment horizontal="center" vertical="center" wrapText="1"/>
    </xf>
    <xf numFmtId="0" fontId="3" fillId="0" borderId="66" xfId="9" applyFont="1" applyBorder="1" applyAlignment="1">
      <alignment horizontal="center" vertical="center" wrapText="1"/>
    </xf>
    <xf numFmtId="0" fontId="3" fillId="0" borderId="101" xfId="9" applyFont="1" applyBorder="1" applyAlignment="1">
      <alignment vertical="center" wrapText="1"/>
    </xf>
    <xf numFmtId="0" fontId="3" fillId="0" borderId="11" xfId="9" applyFont="1" applyBorder="1" applyAlignment="1">
      <alignment wrapText="1"/>
    </xf>
    <xf numFmtId="0" fontId="3" fillId="0" borderId="101" xfId="9" applyFont="1" applyBorder="1" applyAlignment="1">
      <alignment vertical="center" shrinkToFit="1"/>
    </xf>
    <xf numFmtId="0" fontId="3" fillId="0" borderId="101" xfId="9" applyFont="1" applyBorder="1" applyAlignment="1">
      <alignment vertical="center" wrapText="1" shrinkToFit="1"/>
    </xf>
    <xf numFmtId="0" fontId="3" fillId="0" borderId="101" xfId="9" applyFont="1" applyBorder="1" applyAlignment="1">
      <alignment horizontal="left" vertical="center" shrinkToFit="1"/>
    </xf>
    <xf numFmtId="0" fontId="3" fillId="0" borderId="101" xfId="9" applyFont="1" applyBorder="1" applyAlignment="1">
      <alignment horizontal="left" vertical="center" wrapText="1" shrinkToFit="1"/>
    </xf>
    <xf numFmtId="0" fontId="3" fillId="0" borderId="11" xfId="9" applyFont="1" applyBorder="1" applyAlignment="1">
      <alignment horizontal="left" vertical="center" shrinkToFit="1"/>
    </xf>
    <xf numFmtId="0" fontId="1" fillId="7" borderId="0" xfId="9" applyFill="1"/>
    <xf numFmtId="0" fontId="1" fillId="9" borderId="0" xfId="9" applyFill="1"/>
    <xf numFmtId="0" fontId="1" fillId="0" borderId="0" xfId="8" applyAlignment="1">
      <alignment horizontal="right"/>
    </xf>
    <xf numFmtId="0" fontId="1" fillId="30" borderId="11" xfId="8" applyFill="1" applyBorder="1" applyAlignment="1">
      <alignment horizontal="center"/>
    </xf>
    <xf numFmtId="178" fontId="1" fillId="30" borderId="11" xfId="8" applyNumberFormat="1" applyFill="1" applyBorder="1" applyAlignment="1">
      <alignment horizontal="center"/>
    </xf>
    <xf numFmtId="0" fontId="2" fillId="2" borderId="0" xfId="9" applyFont="1" applyFill="1" applyAlignment="1">
      <alignment horizontal="center" vertical="center"/>
    </xf>
    <xf numFmtId="0" fontId="51" fillId="6" borderId="0" xfId="9" applyFont="1" applyFill="1" applyAlignment="1">
      <alignment horizontal="center" vertical="center" wrapText="1"/>
    </xf>
    <xf numFmtId="2" fontId="3" fillId="8" borderId="1" xfId="9" applyNumberFormat="1" applyFont="1" applyFill="1" applyBorder="1" applyAlignment="1" applyProtection="1">
      <alignment horizontal="center" vertical="center"/>
      <protection locked="0"/>
    </xf>
    <xf numFmtId="2" fontId="3" fillId="27" borderId="1" xfId="9" applyNumberFormat="1" applyFont="1" applyFill="1" applyBorder="1" applyAlignment="1" applyProtection="1">
      <alignment horizontal="center" vertical="center"/>
      <protection locked="0"/>
    </xf>
    <xf numFmtId="0" fontId="67" fillId="0" borderId="0" xfId="9" applyFont="1"/>
    <xf numFmtId="171" fontId="68" fillId="0" borderId="0" xfId="3" applyNumberFormat="1" applyFont="1" applyBorder="1" applyAlignment="1">
      <alignment horizontal="center" vertical="center"/>
    </xf>
    <xf numFmtId="0" fontId="69" fillId="0" borderId="0" xfId="9" applyFont="1" applyAlignment="1">
      <alignment vertical="center"/>
    </xf>
    <xf numFmtId="0" fontId="30" fillId="0" borderId="0" xfId="8" applyFont="1" applyAlignment="1">
      <alignment horizontal="center" vertical="center" wrapText="1"/>
    </xf>
    <xf numFmtId="0" fontId="70" fillId="0" borderId="0" xfId="8" applyFont="1" applyAlignment="1">
      <alignment vertical="center"/>
    </xf>
    <xf numFmtId="44" fontId="70" fillId="0" borderId="0" xfId="3" applyFont="1"/>
    <xf numFmtId="0" fontId="71" fillId="0" borderId="0" xfId="8" applyFont="1" applyAlignment="1">
      <alignment horizontal="center" vertical="center" wrapText="1"/>
    </xf>
    <xf numFmtId="2" fontId="8" fillId="27" borderId="105" xfId="9" applyNumberFormat="1" applyFont="1" applyFill="1" applyBorder="1" applyAlignment="1" applyProtection="1">
      <alignment horizontal="center" vertical="center"/>
      <protection locked="0"/>
    </xf>
    <xf numFmtId="2" fontId="3" fillId="0" borderId="105" xfId="9" applyNumberFormat="1" applyFont="1" applyBorder="1" applyAlignment="1" applyProtection="1">
      <alignment horizontal="center" vertical="center"/>
      <protection locked="0"/>
    </xf>
    <xf numFmtId="44" fontId="8" fillId="27" borderId="101" xfId="14" applyFont="1" applyFill="1" applyBorder="1" applyAlignment="1" applyProtection="1">
      <alignment horizontal="center" vertical="center"/>
      <protection locked="0"/>
    </xf>
    <xf numFmtId="0" fontId="7" fillId="31" borderId="0" xfId="9" applyFont="1" applyFill="1"/>
    <xf numFmtId="44" fontId="7" fillId="31" borderId="101" xfId="9" applyNumberFormat="1" applyFont="1" applyFill="1" applyBorder="1"/>
    <xf numFmtId="2" fontId="3" fillId="27" borderId="105" xfId="9" applyNumberFormat="1" applyFont="1" applyFill="1" applyBorder="1" applyAlignment="1" applyProtection="1">
      <alignment horizontal="center" vertical="center"/>
      <protection locked="0"/>
    </xf>
    <xf numFmtId="2" fontId="3" fillId="8" borderId="105" xfId="9" applyNumberFormat="1" applyFont="1" applyFill="1" applyBorder="1" applyAlignment="1" applyProtection="1">
      <alignment horizontal="center" vertical="center"/>
      <protection locked="0"/>
    </xf>
    <xf numFmtId="44" fontId="3" fillId="27" borderId="101" xfId="14" applyFont="1" applyFill="1" applyBorder="1" applyAlignment="1" applyProtection="1">
      <alignment horizontal="center" vertical="center"/>
      <protection locked="0"/>
    </xf>
    <xf numFmtId="0" fontId="43" fillId="0" borderId="0" xfId="8" applyFont="1" applyAlignment="1">
      <alignment vertical="center"/>
    </xf>
    <xf numFmtId="0" fontId="1" fillId="0" borderId="11" xfId="8" applyBorder="1" applyAlignment="1">
      <alignment vertical="center"/>
    </xf>
    <xf numFmtId="0" fontId="12" fillId="31" borderId="0" xfId="9" applyFont="1" applyFill="1"/>
    <xf numFmtId="44" fontId="12" fillId="31" borderId="0" xfId="9" applyNumberFormat="1" applyFont="1" applyFill="1"/>
    <xf numFmtId="44" fontId="60" fillId="0" borderId="0" xfId="3" applyFont="1" applyBorder="1" applyAlignment="1">
      <alignment vertical="center"/>
    </xf>
    <xf numFmtId="0" fontId="73" fillId="0" borderId="0" xfId="9" applyFont="1" applyAlignment="1">
      <alignment wrapText="1"/>
    </xf>
    <xf numFmtId="2" fontId="9" fillId="0" borderId="0" xfId="8" applyNumberFormat="1" applyFont="1" applyAlignment="1">
      <alignment horizontal="center" vertical="center"/>
    </xf>
    <xf numFmtId="180" fontId="9" fillId="0" borderId="0" xfId="8" applyNumberFormat="1" applyFont="1" applyAlignment="1">
      <alignment vertical="center"/>
    </xf>
    <xf numFmtId="4" fontId="8" fillId="0" borderId="0" xfId="8" applyNumberFormat="1" applyFont="1" applyAlignment="1">
      <alignment vertical="center"/>
    </xf>
    <xf numFmtId="4" fontId="7" fillId="9" borderId="37" xfId="9" applyNumberFormat="1" applyFont="1" applyFill="1" applyBorder="1" applyAlignment="1">
      <alignment horizontal="center" vertical="center" wrapText="1"/>
    </xf>
    <xf numFmtId="2" fontId="7" fillId="9" borderId="37" xfId="9" applyNumberFormat="1" applyFont="1" applyFill="1" applyBorder="1" applyAlignment="1">
      <alignment horizontal="center" vertical="center" wrapText="1"/>
    </xf>
    <xf numFmtId="2" fontId="25" fillId="6" borderId="37" xfId="9" applyNumberFormat="1" applyFont="1" applyFill="1" applyBorder="1" applyAlignment="1">
      <alignment horizontal="center" vertical="center" wrapText="1"/>
    </xf>
    <xf numFmtId="0" fontId="74" fillId="0" borderId="0" xfId="9" applyFont="1" applyAlignment="1">
      <alignment vertical="center" wrapText="1"/>
    </xf>
    <xf numFmtId="167" fontId="1" fillId="30" borderId="10" xfId="9" applyNumberFormat="1" applyFill="1" applyBorder="1" applyAlignment="1">
      <alignment vertical="center"/>
    </xf>
    <xf numFmtId="0" fontId="2" fillId="2" borderId="0" xfId="8" applyFont="1" applyFill="1" applyAlignment="1">
      <alignment horizontal="center" vertical="center"/>
    </xf>
    <xf numFmtId="0" fontId="3" fillId="0" borderId="0" xfId="8" applyFont="1" applyAlignment="1">
      <alignment horizontal="left" wrapText="1"/>
    </xf>
    <xf numFmtId="0" fontId="3" fillId="0" borderId="0" xfId="8" applyFont="1" applyAlignment="1">
      <alignment horizontal="left" vertical="top" wrapText="1"/>
    </xf>
    <xf numFmtId="0" fontId="3" fillId="5" borderId="0" xfId="8" applyFont="1" applyFill="1" applyAlignment="1">
      <alignment horizontal="center" wrapText="1"/>
    </xf>
    <xf numFmtId="0" fontId="7" fillId="9" borderId="3" xfId="11" applyFont="1" applyFill="1" applyBorder="1" applyAlignment="1">
      <alignment horizontal="center" vertical="center" wrapText="1"/>
    </xf>
    <xf numFmtId="167" fontId="7" fillId="9" borderId="0" xfId="9" applyNumberFormat="1" applyFont="1" applyFill="1" applyAlignment="1">
      <alignment horizontal="right"/>
    </xf>
    <xf numFmtId="167" fontId="25" fillId="29" borderId="0" xfId="9" applyNumberFormat="1" applyFont="1" applyFill="1" applyAlignment="1">
      <alignment horizontal="right"/>
    </xf>
    <xf numFmtId="0" fontId="45" fillId="29" borderId="10" xfId="11" applyFont="1" applyFill="1" applyBorder="1" applyAlignment="1">
      <alignment horizontal="left" vertical="center" wrapText="1"/>
    </xf>
    <xf numFmtId="0" fontId="45" fillId="29" borderId="3" xfId="11" applyFont="1" applyFill="1" applyBorder="1" applyAlignment="1">
      <alignment horizontal="left" vertical="center" wrapText="1"/>
    </xf>
    <xf numFmtId="0" fontId="8" fillId="0" borderId="0" xfId="9" applyFont="1" applyAlignment="1">
      <alignment horizontal="left" vertical="center" wrapText="1"/>
    </xf>
    <xf numFmtId="0" fontId="6" fillId="9" borderId="10" xfId="11" applyFont="1" applyFill="1" applyBorder="1" applyAlignment="1">
      <alignment horizontal="left" vertical="center" wrapText="1"/>
    </xf>
    <xf numFmtId="0" fontId="6" fillId="9" borderId="3" xfId="11" applyFont="1" applyFill="1" applyBorder="1" applyAlignment="1">
      <alignment horizontal="left" vertical="center" wrapText="1"/>
    </xf>
    <xf numFmtId="0" fontId="63" fillId="0" borderId="0" xfId="0" applyFont="1" applyAlignment="1">
      <alignment horizontal="center" vertical="center" wrapText="1"/>
    </xf>
    <xf numFmtId="49" fontId="4" fillId="7" borderId="0" xfId="13" applyNumberFormat="1" applyFont="1" applyFill="1" applyAlignment="1">
      <alignment horizontal="center" vertical="center"/>
    </xf>
    <xf numFmtId="0" fontId="1" fillId="0" borderId="10" xfId="11" applyBorder="1" applyAlignment="1">
      <alignment horizontal="left" vertical="center" wrapText="1"/>
    </xf>
    <xf numFmtId="0" fontId="1" fillId="0" borderId="3" xfId="11" applyBorder="1" applyAlignment="1">
      <alignment horizontal="left" vertical="center" wrapText="1"/>
    </xf>
    <xf numFmtId="0" fontId="1" fillId="0" borderId="4" xfId="11" applyBorder="1" applyAlignment="1">
      <alignment horizontal="left" vertical="center" wrapText="1"/>
    </xf>
    <xf numFmtId="0" fontId="8" fillId="0" borderId="2" xfId="9" applyFont="1" applyBorder="1" applyAlignment="1">
      <alignment horizontal="left"/>
    </xf>
    <xf numFmtId="0" fontId="8" fillId="0" borderId="2" xfId="3" applyNumberFormat="1" applyFont="1" applyBorder="1" applyAlignment="1" applyProtection="1">
      <alignment horizontal="center"/>
    </xf>
    <xf numFmtId="0" fontId="6" fillId="7" borderId="10" xfId="11" applyFont="1" applyFill="1" applyBorder="1" applyAlignment="1">
      <alignment horizontal="left" vertical="center" wrapText="1"/>
    </xf>
    <xf numFmtId="0" fontId="6" fillId="7" borderId="3" xfId="11" applyFont="1" applyFill="1" applyBorder="1" applyAlignment="1">
      <alignment horizontal="left" vertical="center" wrapText="1"/>
    </xf>
    <xf numFmtId="0" fontId="7" fillId="7" borderId="3" xfId="11" applyFont="1" applyFill="1" applyBorder="1" applyAlignment="1">
      <alignment horizontal="center" vertical="center" wrapText="1"/>
    </xf>
    <xf numFmtId="0" fontId="6" fillId="11" borderId="10" xfId="11" applyFont="1" applyFill="1" applyBorder="1" applyAlignment="1">
      <alignment horizontal="left" vertical="center" wrapText="1"/>
    </xf>
    <xf numFmtId="0" fontId="6" fillId="11" borderId="3" xfId="11" applyFont="1" applyFill="1" applyBorder="1" applyAlignment="1">
      <alignment horizontal="left" vertical="center" wrapText="1"/>
    </xf>
    <xf numFmtId="167" fontId="7" fillId="11" borderId="0" xfId="9" applyNumberFormat="1" applyFont="1" applyFill="1" applyAlignment="1">
      <alignment horizontal="right"/>
    </xf>
    <xf numFmtId="167" fontId="7" fillId="7" borderId="0" xfId="9" applyNumberFormat="1" applyFont="1" applyFill="1" applyAlignment="1">
      <alignment horizontal="right"/>
    </xf>
    <xf numFmtId="168" fontId="6" fillId="7" borderId="2" xfId="3" applyNumberFormat="1" applyFont="1" applyFill="1" applyBorder="1" applyAlignment="1" applyProtection="1"/>
    <xf numFmtId="0" fontId="12" fillId="8" borderId="34" xfId="9" applyFont="1" applyFill="1" applyBorder="1" applyAlignment="1">
      <alignment wrapText="1"/>
    </xf>
    <xf numFmtId="0" fontId="12" fillId="8" borderId="45" xfId="9" applyFont="1" applyFill="1" applyBorder="1" applyAlignment="1">
      <alignment wrapText="1"/>
    </xf>
    <xf numFmtId="0" fontId="3" fillId="0" borderId="0" xfId="9" applyFont="1" applyAlignment="1">
      <alignment horizontal="left" vertical="top" wrapText="1"/>
    </xf>
    <xf numFmtId="0" fontId="2" fillId="2" borderId="0" xfId="9" applyFont="1" applyFill="1" applyAlignment="1">
      <alignment horizontal="center" vertical="center"/>
    </xf>
    <xf numFmtId="0" fontId="1" fillId="0" borderId="0" xfId="9" applyAlignment="1">
      <alignment horizontal="left" vertical="center" wrapText="1"/>
    </xf>
    <xf numFmtId="0" fontId="3" fillId="0" borderId="82" xfId="9" applyFont="1" applyBorder="1" applyAlignment="1">
      <alignment horizontal="left" vertical="center" wrapText="1"/>
    </xf>
    <xf numFmtId="0" fontId="3" fillId="0" borderId="83" xfId="9" applyFont="1" applyBorder="1" applyAlignment="1">
      <alignment horizontal="left" vertical="center" wrapText="1"/>
    </xf>
    <xf numFmtId="0" fontId="3" fillId="0" borderId="84" xfId="9" applyFont="1" applyBorder="1" applyAlignment="1">
      <alignment horizontal="left" vertical="center" wrapText="1"/>
    </xf>
    <xf numFmtId="0" fontId="3" fillId="0" borderId="0" xfId="9" applyFont="1" applyAlignment="1">
      <alignment horizontal="left" vertical="center" wrapText="1"/>
    </xf>
    <xf numFmtId="0" fontId="3" fillId="0" borderId="34" xfId="9" applyFont="1" applyBorder="1" applyAlignment="1">
      <alignment horizontal="center" vertical="center" wrapText="1"/>
    </xf>
    <xf numFmtId="14" fontId="1" fillId="0" borderId="3" xfId="17" applyNumberFormat="1" applyBorder="1"/>
    <xf numFmtId="49" fontId="12" fillId="2" borderId="73" xfId="13" applyNumberFormat="1" applyFont="1" applyFill="1" applyBorder="1" applyAlignment="1">
      <alignment horizontal="center" vertical="center"/>
    </xf>
    <xf numFmtId="49" fontId="12" fillId="2" borderId="0" xfId="13" applyNumberFormat="1" applyFont="1" applyFill="1" applyAlignment="1">
      <alignment horizontal="center" vertical="center"/>
    </xf>
    <xf numFmtId="49" fontId="12" fillId="2" borderId="74" xfId="13" applyNumberFormat="1" applyFont="1" applyFill="1" applyBorder="1" applyAlignment="1">
      <alignment horizontal="center" vertical="center"/>
    </xf>
    <xf numFmtId="0" fontId="12" fillId="2" borderId="0" xfId="13" applyFont="1" applyFill="1" applyAlignment="1">
      <alignment horizontal="center" vertical="center"/>
    </xf>
    <xf numFmtId="0" fontId="12" fillId="2" borderId="74" xfId="13" applyFont="1" applyFill="1" applyBorder="1" applyAlignment="1">
      <alignment horizontal="center" vertical="center"/>
    </xf>
    <xf numFmtId="0" fontId="15" fillId="0" borderId="75" xfId="17" applyFont="1" applyBorder="1" applyAlignment="1">
      <alignment horizontal="left" vertical="center" wrapText="1"/>
    </xf>
    <xf numFmtId="0" fontId="15" fillId="0" borderId="26" xfId="17" applyFont="1" applyBorder="1" applyAlignment="1">
      <alignment horizontal="left" vertical="center" wrapText="1"/>
    </xf>
    <xf numFmtId="0" fontId="15" fillId="0" borderId="13" xfId="17" applyFont="1" applyBorder="1" applyAlignment="1">
      <alignment horizontal="left" vertical="center" wrapText="1"/>
    </xf>
    <xf numFmtId="0" fontId="15" fillId="0" borderId="75" xfId="17" applyFont="1" applyBorder="1" applyAlignment="1">
      <alignment vertical="center" wrapText="1"/>
    </xf>
    <xf numFmtId="0" fontId="20" fillId="0" borderId="26" xfId="17" applyFont="1" applyBorder="1" applyAlignment="1">
      <alignment vertical="center"/>
    </xf>
    <xf numFmtId="0" fontId="1" fillId="0" borderId="0" xfId="17" applyAlignment="1">
      <alignment horizontal="right" vertical="center"/>
    </xf>
    <xf numFmtId="0" fontId="1" fillId="0" borderId="2" xfId="9" applyBorder="1" applyAlignment="1">
      <alignment horizontal="left" vertical="center" wrapText="1"/>
    </xf>
    <xf numFmtId="0" fontId="40" fillId="2" borderId="0" xfId="8" applyFont="1" applyFill="1" applyAlignment="1">
      <alignment horizontal="center" vertical="center"/>
    </xf>
    <xf numFmtId="0" fontId="45" fillId="6" borderId="0" xfId="9" applyFont="1" applyFill="1" applyAlignment="1">
      <alignment horizontal="center" vertical="center"/>
    </xf>
    <xf numFmtId="0" fontId="64" fillId="0" borderId="0" xfId="8" applyFont="1" applyAlignment="1">
      <alignment horizontal="center" wrapText="1"/>
    </xf>
    <xf numFmtId="0" fontId="8" fillId="0" borderId="0" xfId="8" applyFont="1" applyAlignment="1">
      <alignment horizontal="left" vertical="center" wrapText="1"/>
    </xf>
    <xf numFmtId="0" fontId="72" fillId="0" borderId="0" xfId="8" applyFont="1" applyAlignment="1">
      <alignment horizontal="left" vertical="center" wrapText="1"/>
    </xf>
    <xf numFmtId="14" fontId="8" fillId="0" borderId="15" xfId="8" applyNumberFormat="1" applyFont="1" applyBorder="1" applyAlignment="1">
      <alignment horizontal="center" vertical="center"/>
    </xf>
    <xf numFmtId="1" fontId="25" fillId="6" borderId="42" xfId="8" applyNumberFormat="1" applyFont="1" applyFill="1" applyBorder="1" applyAlignment="1">
      <alignment horizontal="center" vertical="center" wrapText="1"/>
    </xf>
    <xf numFmtId="1" fontId="25" fillId="6" borderId="43" xfId="8" applyNumberFormat="1" applyFont="1" applyFill="1" applyBorder="1" applyAlignment="1">
      <alignment horizontal="center" vertical="center" wrapText="1"/>
    </xf>
    <xf numFmtId="44" fontId="25" fillId="6" borderId="16" xfId="3" applyFont="1" applyFill="1" applyBorder="1" applyAlignment="1">
      <alignment horizontal="center" vertical="center" wrapText="1"/>
    </xf>
    <xf numFmtId="0" fontId="8" fillId="0" borderId="0" xfId="8" applyFont="1" applyAlignment="1">
      <alignment horizontal="center" vertical="center" wrapText="1"/>
    </xf>
    <xf numFmtId="0" fontId="12" fillId="9" borderId="7" xfId="8" applyFont="1" applyFill="1" applyBorder="1" applyAlignment="1">
      <alignment horizontal="center"/>
    </xf>
    <xf numFmtId="0" fontId="43" fillId="0" borderId="68" xfId="8" applyFont="1" applyBorder="1" applyAlignment="1">
      <alignment horizontal="center" vertical="top" wrapText="1"/>
    </xf>
    <xf numFmtId="0" fontId="12" fillId="9" borderId="7" xfId="8" applyFont="1" applyFill="1" applyBorder="1" applyAlignment="1">
      <alignment horizontal="center" wrapText="1"/>
    </xf>
    <xf numFmtId="0" fontId="12" fillId="0" borderId="0" xfId="50" applyFont="1" applyAlignment="1">
      <alignment horizontal="center"/>
    </xf>
    <xf numFmtId="0" fontId="3" fillId="0" borderId="0" xfId="50" applyFont="1" applyAlignment="1">
      <alignment horizontal="center"/>
    </xf>
    <xf numFmtId="2" fontId="8" fillId="23" borderId="94" xfId="50" applyNumberFormat="1" applyFont="1" applyFill="1" applyBorder="1" applyAlignment="1">
      <alignment horizontal="center" vertical="center"/>
    </xf>
    <xf numFmtId="2" fontId="8" fillId="9" borderId="94" xfId="50" applyNumberFormat="1" applyFont="1" applyFill="1" applyBorder="1" applyAlignment="1">
      <alignment horizontal="center" wrapText="1"/>
    </xf>
    <xf numFmtId="0" fontId="22" fillId="0" borderId="25" xfId="8" applyFont="1" applyBorder="1" applyAlignment="1">
      <alignment horizontal="center"/>
    </xf>
    <xf numFmtId="0" fontId="22" fillId="0" borderId="26" xfId="8" applyFont="1" applyBorder="1" applyAlignment="1">
      <alignment horizontal="center"/>
    </xf>
    <xf numFmtId="0" fontId="22" fillId="0" borderId="13" xfId="8" applyFont="1" applyBorder="1" applyAlignment="1">
      <alignment horizontal="center"/>
    </xf>
    <xf numFmtId="0" fontId="12" fillId="0" borderId="0" xfId="8" applyFont="1" applyAlignment="1">
      <alignment horizontal="center"/>
    </xf>
    <xf numFmtId="0" fontId="3" fillId="0" borderId="0" xfId="8" applyFont="1" applyAlignment="1">
      <alignment horizontal="center"/>
    </xf>
    <xf numFmtId="0" fontId="3" fillId="0" borderId="0" xfId="8" applyFont="1" applyAlignment="1">
      <alignment horizontal="left"/>
    </xf>
    <xf numFmtId="0" fontId="12" fillId="0" borderId="0" xfId="8" applyFont="1" applyAlignment="1">
      <alignment horizontal="left"/>
    </xf>
    <xf numFmtId="0" fontId="7" fillId="28" borderId="0" xfId="8" applyFont="1" applyFill="1" applyAlignment="1">
      <alignment horizontal="center"/>
    </xf>
  </cellXfs>
  <cellStyles count="221">
    <cellStyle name="20% - Akzent1" xfId="31" xr:uid="{00000000-0005-0000-0000-000000000000}"/>
    <cellStyle name="20% - Akzent2" xfId="32" xr:uid="{00000000-0005-0000-0000-000001000000}"/>
    <cellStyle name="20% - Akzent3" xfId="33" xr:uid="{00000000-0005-0000-0000-000002000000}"/>
    <cellStyle name="20% - Akzent4" xfId="34" xr:uid="{00000000-0005-0000-0000-000003000000}"/>
    <cellStyle name="20% - Akzent5" xfId="35" xr:uid="{00000000-0005-0000-0000-000004000000}"/>
    <cellStyle name="20% - Akzent6" xfId="36" xr:uid="{00000000-0005-0000-0000-000005000000}"/>
    <cellStyle name="40% - Akzent1" xfId="37" xr:uid="{00000000-0005-0000-0000-000006000000}"/>
    <cellStyle name="40% - Akzent2" xfId="38" xr:uid="{00000000-0005-0000-0000-000007000000}"/>
    <cellStyle name="40% - Akzent3" xfId="39" xr:uid="{00000000-0005-0000-0000-000008000000}"/>
    <cellStyle name="40% - Akzent4" xfId="40" xr:uid="{00000000-0005-0000-0000-000009000000}"/>
    <cellStyle name="40% - Akzent5" xfId="41" xr:uid="{00000000-0005-0000-0000-00000A000000}"/>
    <cellStyle name="40% - Akzent6" xfId="42" xr:uid="{00000000-0005-0000-0000-00000B000000}"/>
    <cellStyle name="60% - Akzent1" xfId="43" xr:uid="{00000000-0005-0000-0000-00000C000000}"/>
    <cellStyle name="60% - Akzent2" xfId="44" xr:uid="{00000000-0005-0000-0000-00000D000000}"/>
    <cellStyle name="60% - Akzent3" xfId="45" xr:uid="{00000000-0005-0000-0000-00000E000000}"/>
    <cellStyle name="60% - Akzent4" xfId="46" xr:uid="{00000000-0005-0000-0000-00000F000000}"/>
    <cellStyle name="60% - Akzent5" xfId="47" xr:uid="{00000000-0005-0000-0000-000010000000}"/>
    <cellStyle name="60% - Akzent6" xfId="48" xr:uid="{00000000-0005-0000-0000-000011000000}"/>
    <cellStyle name="Euro" xfId="1" xr:uid="{00000000-0005-0000-0000-000012000000}"/>
    <cellStyle name="Euro 2" xfId="2" xr:uid="{00000000-0005-0000-0000-000013000000}"/>
    <cellStyle name="Euro 2 2" xfId="3" xr:uid="{00000000-0005-0000-0000-000014000000}"/>
    <cellStyle name="Euro 2 2 2" xfId="60" xr:uid="{CF3A4AE8-0843-4DCB-8F44-44AD9B506F34}"/>
    <cellStyle name="Euro 2 2 2 2" xfId="79" xr:uid="{CF3A4AE8-0843-4DCB-8F44-44AD9B506F34}"/>
    <cellStyle name="Euro 2 2 2 2 2" xfId="126" xr:uid="{CF3A4AE8-0843-4DCB-8F44-44AD9B506F34}"/>
    <cellStyle name="Euro 2 2 2 2 2 2" xfId="210" xr:uid="{CF3A4AE8-0843-4DCB-8F44-44AD9B506F34}"/>
    <cellStyle name="Euro 2 2 2 2 3" xfId="168" xr:uid="{CF3A4AE8-0843-4DCB-8F44-44AD9B506F34}"/>
    <cellStyle name="Euro 2 2 2 3" xfId="107" xr:uid="{CF3A4AE8-0843-4DCB-8F44-44AD9B506F34}"/>
    <cellStyle name="Euro 2 2 2 3 2" xfId="191" xr:uid="{CF3A4AE8-0843-4DCB-8F44-44AD9B506F34}"/>
    <cellStyle name="Euro 2 2 2 4" xfId="149" xr:uid="{CF3A4AE8-0843-4DCB-8F44-44AD9B506F34}"/>
    <cellStyle name="Euro 2 2 3" xfId="69" xr:uid="{00000000-0005-0000-0000-000014000000}"/>
    <cellStyle name="Euro 2 2 3 2" xfId="116" xr:uid="{00000000-0005-0000-0000-000014000000}"/>
    <cellStyle name="Euro 2 2 3 2 2" xfId="200" xr:uid="{00000000-0005-0000-0000-000014000000}"/>
    <cellStyle name="Euro 2 2 3 3" xfId="158" xr:uid="{00000000-0005-0000-0000-000014000000}"/>
    <cellStyle name="Euro 2 2 4" xfId="94" xr:uid="{00000000-0005-0000-0000-000002000000}"/>
    <cellStyle name="Euro 2 2 4 2" xfId="136" xr:uid="{00000000-0005-0000-0000-000002000000}"/>
    <cellStyle name="Euro 2 2 4 2 2" xfId="220" xr:uid="{00000000-0005-0000-0000-000002000000}"/>
    <cellStyle name="Euro 2 2 4 3" xfId="178" xr:uid="{00000000-0005-0000-0000-000002000000}"/>
    <cellStyle name="Euro 2 2 5" xfId="97" xr:uid="{00000000-0005-0000-0000-000014000000}"/>
    <cellStyle name="Euro 2 2 5 2" xfId="181" xr:uid="{00000000-0005-0000-0000-000014000000}"/>
    <cellStyle name="Euro 2 2 6" xfId="139" xr:uid="{00000000-0005-0000-0000-000014000000}"/>
    <cellStyle name="Euro 2 3" xfId="59" xr:uid="{3B5FD59F-CFBF-45F7-B3EF-580721721B53}"/>
    <cellStyle name="Euro 2 3 2" xfId="78" xr:uid="{3B5FD59F-CFBF-45F7-B3EF-580721721B53}"/>
    <cellStyle name="Euro 2 3 2 2" xfId="125" xr:uid="{3B5FD59F-CFBF-45F7-B3EF-580721721B53}"/>
    <cellStyle name="Euro 2 3 2 2 2" xfId="209" xr:uid="{3B5FD59F-CFBF-45F7-B3EF-580721721B53}"/>
    <cellStyle name="Euro 2 3 2 3" xfId="167" xr:uid="{3B5FD59F-CFBF-45F7-B3EF-580721721B53}"/>
    <cellStyle name="Euro 2 3 3" xfId="106" xr:uid="{3B5FD59F-CFBF-45F7-B3EF-580721721B53}"/>
    <cellStyle name="Euro 2 3 3 2" xfId="190" xr:uid="{3B5FD59F-CFBF-45F7-B3EF-580721721B53}"/>
    <cellStyle name="Euro 2 3 4" xfId="148" xr:uid="{3B5FD59F-CFBF-45F7-B3EF-580721721B53}"/>
    <cellStyle name="Euro 2 4" xfId="68" xr:uid="{00000000-0005-0000-0000-000013000000}"/>
    <cellStyle name="Euro 2 4 2" xfId="115" xr:uid="{00000000-0005-0000-0000-000013000000}"/>
    <cellStyle name="Euro 2 4 2 2" xfId="199" xr:uid="{00000000-0005-0000-0000-000013000000}"/>
    <cellStyle name="Euro 2 4 3" xfId="157" xr:uid="{00000000-0005-0000-0000-000013000000}"/>
    <cellStyle name="Euro 2 5" xfId="88" xr:uid="{00000000-0005-0000-0000-000001000000}"/>
    <cellStyle name="Euro 2 5 2" xfId="134" xr:uid="{00000000-0005-0000-0000-000001000000}"/>
    <cellStyle name="Euro 2 5 2 2" xfId="218" xr:uid="{00000000-0005-0000-0000-000001000000}"/>
    <cellStyle name="Euro 2 5 3" xfId="176" xr:uid="{00000000-0005-0000-0000-000001000000}"/>
    <cellStyle name="Euro 2 6" xfId="96" xr:uid="{00000000-0005-0000-0000-000013000000}"/>
    <cellStyle name="Euro 2 6 2" xfId="180" xr:uid="{00000000-0005-0000-0000-000013000000}"/>
    <cellStyle name="Euro 2 7" xfId="138" xr:uid="{00000000-0005-0000-0000-000013000000}"/>
    <cellStyle name="Euro 3" xfId="4" xr:uid="{00000000-0005-0000-0000-000015000000}"/>
    <cellStyle name="Euro 3 2" xfId="61" xr:uid="{4D493CB9-17AA-4B04-BBA4-9EDAADAE51C9}"/>
    <cellStyle name="Euro 3 2 2" xfId="80" xr:uid="{4D493CB9-17AA-4B04-BBA4-9EDAADAE51C9}"/>
    <cellStyle name="Euro 3 2 2 2" xfId="127" xr:uid="{4D493CB9-17AA-4B04-BBA4-9EDAADAE51C9}"/>
    <cellStyle name="Euro 3 2 2 2 2" xfId="211" xr:uid="{4D493CB9-17AA-4B04-BBA4-9EDAADAE51C9}"/>
    <cellStyle name="Euro 3 2 2 3" xfId="169" xr:uid="{4D493CB9-17AA-4B04-BBA4-9EDAADAE51C9}"/>
    <cellStyle name="Euro 3 2 3" xfId="108" xr:uid="{4D493CB9-17AA-4B04-BBA4-9EDAADAE51C9}"/>
    <cellStyle name="Euro 3 2 3 2" xfId="192" xr:uid="{4D493CB9-17AA-4B04-BBA4-9EDAADAE51C9}"/>
    <cellStyle name="Euro 3 2 4" xfId="150" xr:uid="{4D493CB9-17AA-4B04-BBA4-9EDAADAE51C9}"/>
    <cellStyle name="Euro 3 3" xfId="70" xr:uid="{00000000-0005-0000-0000-000015000000}"/>
    <cellStyle name="Euro 3 3 2" xfId="117" xr:uid="{00000000-0005-0000-0000-000015000000}"/>
    <cellStyle name="Euro 3 3 2 2" xfId="201" xr:uid="{00000000-0005-0000-0000-000015000000}"/>
    <cellStyle name="Euro 3 3 3" xfId="159" xr:uid="{00000000-0005-0000-0000-000015000000}"/>
    <cellStyle name="Euro 3 4" xfId="93" xr:uid="{00000000-0005-0000-0000-000003000000}"/>
    <cellStyle name="Euro 3 4 2" xfId="135" xr:uid="{00000000-0005-0000-0000-000003000000}"/>
    <cellStyle name="Euro 3 4 2 2" xfId="219" xr:uid="{00000000-0005-0000-0000-000003000000}"/>
    <cellStyle name="Euro 3 4 3" xfId="177" xr:uid="{00000000-0005-0000-0000-000003000000}"/>
    <cellStyle name="Euro 3 5" xfId="98" xr:uid="{00000000-0005-0000-0000-000015000000}"/>
    <cellStyle name="Euro 3 5 2" xfId="182" xr:uid="{00000000-0005-0000-0000-000015000000}"/>
    <cellStyle name="Euro 3 6" xfId="140" xr:uid="{00000000-0005-0000-0000-000015000000}"/>
    <cellStyle name="Euro 4" xfId="30" xr:uid="{00000000-0005-0000-0000-000016000000}"/>
    <cellStyle name="Euro 5" xfId="58" xr:uid="{858AF294-9B10-4372-886D-61662B61083E}"/>
    <cellStyle name="Euro 5 2" xfId="77" xr:uid="{858AF294-9B10-4372-886D-61662B61083E}"/>
    <cellStyle name="Euro 5 2 2" xfId="124" xr:uid="{858AF294-9B10-4372-886D-61662B61083E}"/>
    <cellStyle name="Euro 5 2 2 2" xfId="208" xr:uid="{858AF294-9B10-4372-886D-61662B61083E}"/>
    <cellStyle name="Euro 5 2 3" xfId="166" xr:uid="{858AF294-9B10-4372-886D-61662B61083E}"/>
    <cellStyle name="Euro 5 3" xfId="105" xr:uid="{858AF294-9B10-4372-886D-61662B61083E}"/>
    <cellStyle name="Euro 5 3 2" xfId="189" xr:uid="{858AF294-9B10-4372-886D-61662B61083E}"/>
    <cellStyle name="Euro 5 4" xfId="147" xr:uid="{858AF294-9B10-4372-886D-61662B61083E}"/>
    <cellStyle name="Euro 6" xfId="67" xr:uid="{00000000-0005-0000-0000-000012000000}"/>
    <cellStyle name="Euro 6 2" xfId="114" xr:uid="{00000000-0005-0000-0000-000012000000}"/>
    <cellStyle name="Euro 6 2 2" xfId="198" xr:uid="{00000000-0005-0000-0000-000012000000}"/>
    <cellStyle name="Euro 6 3" xfId="156" xr:uid="{00000000-0005-0000-0000-000012000000}"/>
    <cellStyle name="Euro 7" xfId="86" xr:uid="{00000000-0005-0000-0000-000000000000}"/>
    <cellStyle name="Euro 7 2" xfId="133" xr:uid="{00000000-0005-0000-0000-000000000000}"/>
    <cellStyle name="Euro 7 2 2" xfId="217" xr:uid="{00000000-0005-0000-0000-000000000000}"/>
    <cellStyle name="Euro 7 3" xfId="175" xr:uid="{00000000-0005-0000-0000-000000000000}"/>
    <cellStyle name="Euro 8" xfId="95" xr:uid="{00000000-0005-0000-0000-000012000000}"/>
    <cellStyle name="Euro 8 2" xfId="179" xr:uid="{00000000-0005-0000-0000-000012000000}"/>
    <cellStyle name="Euro 9" xfId="137" xr:uid="{00000000-0005-0000-0000-000012000000}"/>
    <cellStyle name="Euro_Preis_u Leistungsermittlung_JobaTest" xfId="5" xr:uid="{00000000-0005-0000-0000-000017000000}"/>
    <cellStyle name="Komma 2" xfId="16" xr:uid="{00000000-0005-0000-0000-000018000000}"/>
    <cellStyle name="Komma 2 2" xfId="73" xr:uid="{00000000-0005-0000-0000-000018000000}"/>
    <cellStyle name="Komma 2 2 2" xfId="120" xr:uid="{00000000-0005-0000-0000-000018000000}"/>
    <cellStyle name="Komma 2 2 2 2" xfId="204" xr:uid="{00000000-0005-0000-0000-000018000000}"/>
    <cellStyle name="Komma 2 2 3" xfId="162" xr:uid="{00000000-0005-0000-0000-000018000000}"/>
    <cellStyle name="Komma 2 3" xfId="101" xr:uid="{00000000-0005-0000-0000-000018000000}"/>
    <cellStyle name="Komma 2 3 2" xfId="185" xr:uid="{00000000-0005-0000-0000-000018000000}"/>
    <cellStyle name="Komma 2 4" xfId="143" xr:uid="{00000000-0005-0000-0000-000018000000}"/>
    <cellStyle name="Prozent" xfId="51" builtinId="5"/>
    <cellStyle name="Prozent 2" xfId="6" xr:uid="{00000000-0005-0000-0000-000019000000}"/>
    <cellStyle name="Prozent 2 2" xfId="20" xr:uid="{00000000-0005-0000-0000-00001A000000}"/>
    <cellStyle name="Prozent 2 3" xfId="18" xr:uid="{00000000-0005-0000-0000-00001B000000}"/>
    <cellStyle name="Prozent 2 9" xfId="89" xr:uid="{00000000-0005-0000-0000-000004000000}"/>
    <cellStyle name="Prozent 3" xfId="7" xr:uid="{00000000-0005-0000-0000-00001C000000}"/>
    <cellStyle name="Prozent 4" xfId="21" xr:uid="{00000000-0005-0000-0000-00001D000000}"/>
    <cellStyle name="Prozent 5" xfId="22" xr:uid="{00000000-0005-0000-0000-00001E000000}"/>
    <cellStyle name="Prozent 5 2" xfId="57" xr:uid="{096B3BE3-DBD8-4E6B-91A5-545B4E5F27B6}"/>
    <cellStyle name="Prozent 6" xfId="54" xr:uid="{4A4A888B-3251-4BD0-ABB7-F697B8EA1282}"/>
    <cellStyle name="Prozent 9" xfId="90" xr:uid="{00000000-0005-0000-0000-000005000000}"/>
    <cellStyle name="Standard" xfId="0" builtinId="0"/>
    <cellStyle name="Standard 10" xfId="87" xr:uid="{00000000-0005-0000-0000-000001000000}"/>
    <cellStyle name="Standard 2" xfId="8" xr:uid="{00000000-0005-0000-0000-000020000000}"/>
    <cellStyle name="Standard 2 10" xfId="91" xr:uid="{00000000-0005-0000-0000-000009000000}"/>
    <cellStyle name="Standard 2 2" xfId="9" xr:uid="{00000000-0005-0000-0000-000021000000}"/>
    <cellStyle name="Standard 2 2 2" xfId="50" xr:uid="{3FDA3C4A-04A5-4583-A795-F010751148EA}"/>
    <cellStyle name="Standard 2 2 2 2 2" xfId="53" xr:uid="{94F799D8-2102-4CA7-A721-62E5897C81A0}"/>
    <cellStyle name="Standard 2 2 2 3" xfId="52" xr:uid="{6100C90E-2A6E-40FD-AD83-FFC302545FED}"/>
    <cellStyle name="Standard 2 3" xfId="17" xr:uid="{00000000-0005-0000-0000-000022000000}"/>
    <cellStyle name="Standard 2 4" xfId="23" xr:uid="{00000000-0005-0000-0000-000023000000}"/>
    <cellStyle name="Standard 2 9" xfId="92" xr:uid="{00000000-0005-0000-0000-00000A000000}"/>
    <cellStyle name="Standard 2_12_08_27_Anlage 05_LV und Kalkulationen Frankfurt 120328" xfId="29" xr:uid="{00000000-0005-0000-0000-000024000000}"/>
    <cellStyle name="Standard 3" xfId="10" xr:uid="{00000000-0005-0000-0000-000025000000}"/>
    <cellStyle name="Standard 3 2" xfId="11" xr:uid="{00000000-0005-0000-0000-000026000000}"/>
    <cellStyle name="Standard 4" xfId="12" xr:uid="{00000000-0005-0000-0000-000027000000}"/>
    <cellStyle name="Standard 5" xfId="24" xr:uid="{00000000-0005-0000-0000-000028000000}"/>
    <cellStyle name="Standard 5 2" xfId="25" xr:uid="{00000000-0005-0000-0000-000029000000}"/>
    <cellStyle name="Standard 6" xfId="26" xr:uid="{00000000-0005-0000-0000-00002A000000}"/>
    <cellStyle name="Standard 7" xfId="28" xr:uid="{00000000-0005-0000-0000-00002B000000}"/>
    <cellStyle name="Standard 7 2" xfId="49" xr:uid="{00000000-0005-0000-0000-00002C000000}"/>
    <cellStyle name="Standard 7 3 2" xfId="55" xr:uid="{23C62B75-077F-47ED-8C63-528803BC85A6}"/>
    <cellStyle name="Standard_Tabelle1 2 2" xfId="13" xr:uid="{00000000-0005-0000-0000-00002D000000}"/>
    <cellStyle name="Währung" xfId="14" builtinId="4"/>
    <cellStyle name="Währung 2" xfId="15" xr:uid="{00000000-0005-0000-0000-00002F000000}"/>
    <cellStyle name="Währung 2 2" xfId="19" xr:uid="{00000000-0005-0000-0000-000030000000}"/>
    <cellStyle name="Währung 2 2 2" xfId="64" xr:uid="{2BAD9609-A6C3-4285-BAE9-B8E87CD56C15}"/>
    <cellStyle name="Währung 2 2 2 2" xfId="83" xr:uid="{2BAD9609-A6C3-4285-BAE9-B8E87CD56C15}"/>
    <cellStyle name="Währung 2 2 2 2 2" xfId="130" xr:uid="{2BAD9609-A6C3-4285-BAE9-B8E87CD56C15}"/>
    <cellStyle name="Währung 2 2 2 2 2 2" xfId="214" xr:uid="{2BAD9609-A6C3-4285-BAE9-B8E87CD56C15}"/>
    <cellStyle name="Währung 2 2 2 2 3" xfId="172" xr:uid="{2BAD9609-A6C3-4285-BAE9-B8E87CD56C15}"/>
    <cellStyle name="Währung 2 2 2 3" xfId="111" xr:uid="{2BAD9609-A6C3-4285-BAE9-B8E87CD56C15}"/>
    <cellStyle name="Währung 2 2 2 3 2" xfId="195" xr:uid="{2BAD9609-A6C3-4285-BAE9-B8E87CD56C15}"/>
    <cellStyle name="Währung 2 2 2 4" xfId="153" xr:uid="{2BAD9609-A6C3-4285-BAE9-B8E87CD56C15}"/>
    <cellStyle name="Währung 2 2 3" xfId="74" xr:uid="{00000000-0005-0000-0000-000030000000}"/>
    <cellStyle name="Währung 2 2 3 2" xfId="121" xr:uid="{00000000-0005-0000-0000-000030000000}"/>
    <cellStyle name="Währung 2 2 3 2 2" xfId="205" xr:uid="{00000000-0005-0000-0000-000030000000}"/>
    <cellStyle name="Währung 2 2 3 3" xfId="163" xr:uid="{00000000-0005-0000-0000-000030000000}"/>
    <cellStyle name="Währung 2 2 4" xfId="102" xr:uid="{00000000-0005-0000-0000-000030000000}"/>
    <cellStyle name="Währung 2 2 4 2" xfId="186" xr:uid="{00000000-0005-0000-0000-000030000000}"/>
    <cellStyle name="Währung 2 2 5" xfId="144" xr:uid="{00000000-0005-0000-0000-000030000000}"/>
    <cellStyle name="Währung 2 3" xfId="63" xr:uid="{3DCADAE9-A420-487E-A21C-2743734FF467}"/>
    <cellStyle name="Währung 2 3 2" xfId="82" xr:uid="{3DCADAE9-A420-487E-A21C-2743734FF467}"/>
    <cellStyle name="Währung 2 3 2 2" xfId="129" xr:uid="{3DCADAE9-A420-487E-A21C-2743734FF467}"/>
    <cellStyle name="Währung 2 3 2 2 2" xfId="213" xr:uid="{3DCADAE9-A420-487E-A21C-2743734FF467}"/>
    <cellStyle name="Währung 2 3 2 3" xfId="171" xr:uid="{3DCADAE9-A420-487E-A21C-2743734FF467}"/>
    <cellStyle name="Währung 2 3 3" xfId="110" xr:uid="{3DCADAE9-A420-487E-A21C-2743734FF467}"/>
    <cellStyle name="Währung 2 3 3 2" xfId="194" xr:uid="{3DCADAE9-A420-487E-A21C-2743734FF467}"/>
    <cellStyle name="Währung 2 3 4" xfId="152" xr:uid="{3DCADAE9-A420-487E-A21C-2743734FF467}"/>
    <cellStyle name="Währung 2 4" xfId="72" xr:uid="{00000000-0005-0000-0000-00002F000000}"/>
    <cellStyle name="Währung 2 4 2" xfId="119" xr:uid="{00000000-0005-0000-0000-00002F000000}"/>
    <cellStyle name="Währung 2 4 2 2" xfId="203" xr:uid="{00000000-0005-0000-0000-00002F000000}"/>
    <cellStyle name="Währung 2 4 3" xfId="161" xr:uid="{00000000-0005-0000-0000-00002F000000}"/>
    <cellStyle name="Währung 2 5" xfId="100" xr:uid="{00000000-0005-0000-0000-00002F000000}"/>
    <cellStyle name="Währung 2 5 2" xfId="184" xr:uid="{00000000-0005-0000-0000-00002F000000}"/>
    <cellStyle name="Währung 2 6" xfId="142" xr:uid="{00000000-0005-0000-0000-00002F000000}"/>
    <cellStyle name="Währung 3" xfId="27" xr:uid="{00000000-0005-0000-0000-000031000000}"/>
    <cellStyle name="Währung 3 2" xfId="65" xr:uid="{A5D1C3AC-A11C-4EB1-B89D-D055CD9DE2BE}"/>
    <cellStyle name="Währung 3 2 2" xfId="84" xr:uid="{A5D1C3AC-A11C-4EB1-B89D-D055CD9DE2BE}"/>
    <cellStyle name="Währung 3 2 2 2" xfId="131" xr:uid="{A5D1C3AC-A11C-4EB1-B89D-D055CD9DE2BE}"/>
    <cellStyle name="Währung 3 2 2 2 2" xfId="215" xr:uid="{A5D1C3AC-A11C-4EB1-B89D-D055CD9DE2BE}"/>
    <cellStyle name="Währung 3 2 2 3" xfId="173" xr:uid="{A5D1C3AC-A11C-4EB1-B89D-D055CD9DE2BE}"/>
    <cellStyle name="Währung 3 2 3" xfId="112" xr:uid="{A5D1C3AC-A11C-4EB1-B89D-D055CD9DE2BE}"/>
    <cellStyle name="Währung 3 2 3 2" xfId="196" xr:uid="{A5D1C3AC-A11C-4EB1-B89D-D055CD9DE2BE}"/>
    <cellStyle name="Währung 3 2 4" xfId="154" xr:uid="{A5D1C3AC-A11C-4EB1-B89D-D055CD9DE2BE}"/>
    <cellStyle name="Währung 3 3" xfId="75" xr:uid="{00000000-0005-0000-0000-000031000000}"/>
    <cellStyle name="Währung 3 3 2" xfId="122" xr:uid="{00000000-0005-0000-0000-000031000000}"/>
    <cellStyle name="Währung 3 3 2 2" xfId="206" xr:uid="{00000000-0005-0000-0000-000031000000}"/>
    <cellStyle name="Währung 3 3 3" xfId="164" xr:uid="{00000000-0005-0000-0000-000031000000}"/>
    <cellStyle name="Währung 3 4" xfId="56" xr:uid="{8B6C04BC-9B91-487E-95B2-BCF2809FAA85}"/>
    <cellStyle name="Währung 3 4 2" xfId="66" xr:uid="{C6BFF4B7-783C-4A45-9078-4D6A172B3A05}"/>
    <cellStyle name="Währung 3 4 2 2" xfId="85" xr:uid="{C6BFF4B7-783C-4A45-9078-4D6A172B3A05}"/>
    <cellStyle name="Währung 3 4 2 2 2" xfId="132" xr:uid="{C6BFF4B7-783C-4A45-9078-4D6A172B3A05}"/>
    <cellStyle name="Währung 3 4 2 2 2 2" xfId="216" xr:uid="{C6BFF4B7-783C-4A45-9078-4D6A172B3A05}"/>
    <cellStyle name="Währung 3 4 2 2 3" xfId="174" xr:uid="{C6BFF4B7-783C-4A45-9078-4D6A172B3A05}"/>
    <cellStyle name="Währung 3 4 2 3" xfId="113" xr:uid="{C6BFF4B7-783C-4A45-9078-4D6A172B3A05}"/>
    <cellStyle name="Währung 3 4 2 3 2" xfId="197" xr:uid="{C6BFF4B7-783C-4A45-9078-4D6A172B3A05}"/>
    <cellStyle name="Währung 3 4 2 4" xfId="155" xr:uid="{C6BFF4B7-783C-4A45-9078-4D6A172B3A05}"/>
    <cellStyle name="Währung 3 4 3" xfId="76" xr:uid="{8B6C04BC-9B91-487E-95B2-BCF2809FAA85}"/>
    <cellStyle name="Währung 3 4 3 2" xfId="123" xr:uid="{8B6C04BC-9B91-487E-95B2-BCF2809FAA85}"/>
    <cellStyle name="Währung 3 4 3 2 2" xfId="207" xr:uid="{8B6C04BC-9B91-487E-95B2-BCF2809FAA85}"/>
    <cellStyle name="Währung 3 4 3 3" xfId="165" xr:uid="{8B6C04BC-9B91-487E-95B2-BCF2809FAA85}"/>
    <cellStyle name="Währung 3 4 4" xfId="104" xr:uid="{8B6C04BC-9B91-487E-95B2-BCF2809FAA85}"/>
    <cellStyle name="Währung 3 4 4 2" xfId="188" xr:uid="{8B6C04BC-9B91-487E-95B2-BCF2809FAA85}"/>
    <cellStyle name="Währung 3 4 5" xfId="146" xr:uid="{8B6C04BC-9B91-487E-95B2-BCF2809FAA85}"/>
    <cellStyle name="Währung 3 5" xfId="103" xr:uid="{00000000-0005-0000-0000-000031000000}"/>
    <cellStyle name="Währung 3 5 2" xfId="187" xr:uid="{00000000-0005-0000-0000-000031000000}"/>
    <cellStyle name="Währung 3 6" xfId="145" xr:uid="{00000000-0005-0000-0000-000031000000}"/>
    <cellStyle name="Währung 4" xfId="62" xr:uid="{1005A9BF-1006-483C-9A4B-9AC832E08C57}"/>
    <cellStyle name="Währung 4 2" xfId="81" xr:uid="{1005A9BF-1006-483C-9A4B-9AC832E08C57}"/>
    <cellStyle name="Währung 4 2 2" xfId="128" xr:uid="{1005A9BF-1006-483C-9A4B-9AC832E08C57}"/>
    <cellStyle name="Währung 4 2 2 2" xfId="212" xr:uid="{1005A9BF-1006-483C-9A4B-9AC832E08C57}"/>
    <cellStyle name="Währung 4 2 3" xfId="170" xr:uid="{1005A9BF-1006-483C-9A4B-9AC832E08C57}"/>
    <cellStyle name="Währung 4 3" xfId="109" xr:uid="{1005A9BF-1006-483C-9A4B-9AC832E08C57}"/>
    <cellStyle name="Währung 4 3 2" xfId="193" xr:uid="{1005A9BF-1006-483C-9A4B-9AC832E08C57}"/>
    <cellStyle name="Währung 4 4" xfId="151" xr:uid="{1005A9BF-1006-483C-9A4B-9AC832E08C57}"/>
    <cellStyle name="Währung 5" xfId="71" xr:uid="{00000000-0005-0000-0000-000079000000}"/>
    <cellStyle name="Währung 5 2" xfId="118" xr:uid="{00000000-0005-0000-0000-000079000000}"/>
    <cellStyle name="Währung 5 2 2" xfId="202" xr:uid="{00000000-0005-0000-0000-000079000000}"/>
    <cellStyle name="Währung 5 3" xfId="160" xr:uid="{00000000-0005-0000-0000-000079000000}"/>
    <cellStyle name="Währung 6" xfId="99" xr:uid="{00000000-0005-0000-0000-0000A2000000}"/>
    <cellStyle name="Währung 6 2" xfId="183" xr:uid="{00000000-0005-0000-0000-0000A2000000}"/>
    <cellStyle name="Währung 7" xfId="141" xr:uid="{00000000-0005-0000-0000-0000E2000000}"/>
  </cellStyles>
  <dxfs count="6">
    <dxf>
      <font>
        <color rgb="FF006100"/>
      </font>
      <fill>
        <patternFill>
          <bgColor rgb="FFC6EFCE"/>
        </patternFill>
      </fill>
    </dxf>
    <dxf>
      <fill>
        <patternFill>
          <bgColor theme="0" tint="-0.34998626667073579"/>
        </patternFill>
      </fill>
    </dxf>
    <dxf>
      <fill>
        <patternFill>
          <bgColor theme="0" tint="-0.14996795556505021"/>
        </patternFill>
      </fill>
    </dxf>
    <dxf>
      <font>
        <color rgb="FF006100"/>
      </font>
      <fill>
        <patternFill>
          <bgColor rgb="FFC6EFCE"/>
        </patternFill>
      </fill>
    </dxf>
    <dxf>
      <fill>
        <patternFill>
          <bgColor theme="0" tint="-0.34998626667073579"/>
        </patternFill>
      </fill>
    </dxf>
    <dxf>
      <fill>
        <patternFill>
          <bgColor theme="0" tint="-0.14996795556505021"/>
        </patternFill>
      </fill>
    </dxf>
  </dxfs>
  <tableStyles count="0" defaultTableStyle="TableStyleMedium9" defaultPivotStyle="PivotStyleLight16"/>
  <colors>
    <mruColors>
      <color rgb="FFFFFF99"/>
      <color rgb="FF777777"/>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E16"/>
  <sheetViews>
    <sheetView showGridLines="0" tabSelected="1" zoomScaleNormal="100" workbookViewId="0">
      <selection activeCell="A2" sqref="A2"/>
    </sheetView>
  </sheetViews>
  <sheetFormatPr baseColWidth="10" defaultColWidth="11.44140625" defaultRowHeight="15" x14ac:dyDescent="0.25"/>
  <cols>
    <col min="1" max="1" width="10.33203125" style="2" bestFit="1" customWidth="1"/>
    <col min="2" max="2" width="30.6640625" style="2" bestFit="1" customWidth="1"/>
    <col min="3" max="3" width="11.44140625" style="2" customWidth="1"/>
    <col min="4" max="4" width="10.33203125" style="2" bestFit="1" customWidth="1"/>
    <col min="5" max="5" width="33.88671875" style="2" customWidth="1"/>
    <col min="6" max="16384" width="11.44140625" style="1"/>
  </cols>
  <sheetData>
    <row r="1" spans="1:5" ht="30" customHeight="1" x14ac:dyDescent="0.25">
      <c r="A1" s="601" t="s">
        <v>96</v>
      </c>
      <c r="B1" s="601"/>
      <c r="C1" s="601"/>
      <c r="D1" s="601"/>
      <c r="E1" s="601"/>
    </row>
    <row r="2" spans="1:5" x14ac:dyDescent="0.25">
      <c r="A2" s="2" t="s">
        <v>0</v>
      </c>
      <c r="B2" s="2" t="s">
        <v>0</v>
      </c>
      <c r="C2" s="2" t="s">
        <v>0</v>
      </c>
    </row>
    <row r="3" spans="1:5" ht="30.75" customHeight="1" x14ac:dyDescent="0.25">
      <c r="A3" s="2" t="s">
        <v>0</v>
      </c>
      <c r="B3" s="2" t="s">
        <v>0</v>
      </c>
      <c r="D3" s="2" t="s">
        <v>1</v>
      </c>
      <c r="E3" s="3"/>
    </row>
    <row r="4" spans="1:5" x14ac:dyDescent="0.25">
      <c r="A4" s="2" t="s">
        <v>0</v>
      </c>
      <c r="B4" s="2" t="s">
        <v>0</v>
      </c>
    </row>
    <row r="5" spans="1:5" ht="57" customHeight="1" x14ac:dyDescent="0.25">
      <c r="A5" s="2" t="s">
        <v>2</v>
      </c>
      <c r="B5" s="155" t="s">
        <v>359</v>
      </c>
      <c r="D5" s="4" t="s">
        <v>3</v>
      </c>
      <c r="E5" s="552"/>
    </row>
    <row r="6" spans="1:5" x14ac:dyDescent="0.25">
      <c r="E6" s="5" t="s">
        <v>0</v>
      </c>
    </row>
    <row r="7" spans="1:5" x14ac:dyDescent="0.25">
      <c r="D7" s="2" t="s">
        <v>0</v>
      </c>
      <c r="E7" s="2" t="s">
        <v>0</v>
      </c>
    </row>
    <row r="8" spans="1:5" ht="30.75" customHeight="1" x14ac:dyDescent="0.25">
      <c r="A8" s="6" t="s">
        <v>4</v>
      </c>
      <c r="B8" s="603" t="s">
        <v>929</v>
      </c>
      <c r="C8" s="2" t="s">
        <v>0</v>
      </c>
      <c r="E8" s="2" t="s">
        <v>0</v>
      </c>
    </row>
    <row r="9" spans="1:5" x14ac:dyDescent="0.25">
      <c r="B9" s="603"/>
      <c r="D9" s="2" t="s">
        <v>0</v>
      </c>
      <c r="E9" s="2" t="s">
        <v>0</v>
      </c>
    </row>
    <row r="10" spans="1:5" ht="107.4" customHeight="1" x14ac:dyDescent="0.25">
      <c r="A10" s="604" t="s">
        <v>1007</v>
      </c>
      <c r="B10" s="604"/>
      <c r="C10" s="604"/>
      <c r="D10" s="604"/>
      <c r="E10" s="604"/>
    </row>
    <row r="12" spans="1:5" x14ac:dyDescent="0.25">
      <c r="A12" s="2" t="s">
        <v>280</v>
      </c>
    </row>
    <row r="14" spans="1:5" ht="37.5" customHeight="1" x14ac:dyDescent="0.25">
      <c r="A14" s="602" t="s">
        <v>337</v>
      </c>
      <c r="B14" s="602"/>
      <c r="C14" s="602"/>
      <c r="D14" s="602"/>
      <c r="E14" s="602"/>
    </row>
    <row r="15" spans="1:5" x14ac:dyDescent="0.25">
      <c r="A15" s="7"/>
      <c r="B15" s="7"/>
      <c r="C15" s="7"/>
      <c r="D15" s="7"/>
      <c r="E15" s="7"/>
    </row>
    <row r="16" spans="1:5" x14ac:dyDescent="0.25">
      <c r="B16" s="2" t="s">
        <v>0</v>
      </c>
    </row>
  </sheetData>
  <sheetProtection selectLockedCells="1"/>
  <mergeCells count="4">
    <mergeCell ref="A1:E1"/>
    <mergeCell ref="A14:E14"/>
    <mergeCell ref="B8:B9"/>
    <mergeCell ref="A10:E10"/>
  </mergeCells>
  <pageMargins left="0.70866141732283472" right="0.48" top="0.61875000000000002" bottom="0.78740157480314965" header="0.31496062992125984" footer="0.31496062992125984"/>
  <pageSetup paperSize="9" scale="90" orientation="portrait" horizontalDpi="4294967293" verticalDpi="300" r:id="rId1"/>
  <headerFooter>
    <oddHeader>&amp;CAusschreibung Reinigung Gemeinde Oberhaching 2026</oddHeader>
    <oddFooter>Seite &amp;P von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D2BD9-0CE4-49B6-A41F-37B118A0B4F0}">
  <sheetPr codeName="Tabelle10"/>
  <dimension ref="A1:T80"/>
  <sheetViews>
    <sheetView zoomScale="90" zoomScaleNormal="9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 style="9" customWidth="1"/>
    <col min="6" max="6" width="13.21875" style="9" customWidth="1"/>
    <col min="7" max="7" width="1.21875" style="9" customWidth="1"/>
    <col min="8" max="8" width="10.44140625" style="9" customWidth="1"/>
    <col min="9" max="9" width="14.21875" style="9" customWidth="1"/>
    <col min="10" max="10" width="1.33203125" style="9" customWidth="1"/>
    <col min="11" max="11" width="13.21875" style="9" customWidth="1"/>
    <col min="12" max="12" width="1.109375" style="9" customWidth="1"/>
    <col min="13" max="13" width="10.44140625" style="9" customWidth="1"/>
    <col min="14" max="14" width="13.44140625" style="9" customWidth="1"/>
    <col min="15" max="15" width="1.109375" style="9" customWidth="1"/>
    <col min="16" max="16" width="13.21875" style="9" customWidth="1"/>
    <col min="17" max="17" width="1"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639" t="s">
        <v>663</v>
      </c>
      <c r="B1" s="640"/>
      <c r="C1" s="640"/>
      <c r="D1" s="640"/>
      <c r="E1" s="640"/>
      <c r="F1" s="640"/>
      <c r="G1" s="640"/>
      <c r="H1" s="640"/>
      <c r="I1" s="640"/>
      <c r="J1" s="640"/>
      <c r="K1" s="640"/>
      <c r="L1" s="640"/>
      <c r="M1" s="640"/>
      <c r="N1" s="640"/>
      <c r="O1" s="640"/>
      <c r="P1" s="640"/>
      <c r="Q1" s="641"/>
    </row>
    <row r="2" spans="1:20" ht="13.8" x14ac:dyDescent="0.25">
      <c r="A2" s="370"/>
      <c r="B2" s="196"/>
      <c r="C2" s="196"/>
      <c r="D2" s="197"/>
      <c r="E2" s="198"/>
      <c r="F2" s="198"/>
      <c r="G2" s="196"/>
      <c r="H2" s="196"/>
      <c r="I2" s="197"/>
      <c r="J2" s="198"/>
      <c r="K2" s="198"/>
      <c r="L2" s="196"/>
      <c r="M2" s="196"/>
      <c r="N2" s="197"/>
      <c r="O2" s="198"/>
      <c r="P2" s="198"/>
      <c r="Q2" s="371"/>
    </row>
    <row r="3" spans="1:20" ht="15.6" x14ac:dyDescent="0.25">
      <c r="A3" s="372"/>
      <c r="B3" s="373"/>
      <c r="C3" s="199" t="s">
        <v>338</v>
      </c>
      <c r="D3" s="199"/>
      <c r="E3" s="199"/>
      <c r="F3" s="199"/>
      <c r="G3" s="200"/>
      <c r="H3" s="642" t="s">
        <v>339</v>
      </c>
      <c r="I3" s="642"/>
      <c r="J3" s="642"/>
      <c r="K3" s="642"/>
      <c r="L3" s="200"/>
      <c r="M3" s="642" t="s">
        <v>340</v>
      </c>
      <c r="N3" s="642"/>
      <c r="O3" s="642"/>
      <c r="P3" s="642"/>
      <c r="Q3" s="643"/>
      <c r="R3" s="374"/>
      <c r="S3" s="374"/>
      <c r="T3" s="374"/>
    </row>
    <row r="4" spans="1:20" ht="16.350000000000001" customHeight="1" x14ac:dyDescent="0.25">
      <c r="A4" s="375"/>
      <c r="B4" s="200"/>
      <c r="C4" s="200"/>
      <c r="D4" s="376" t="s">
        <v>341</v>
      </c>
      <c r="E4" s="377"/>
      <c r="F4" s="377" t="s">
        <v>342</v>
      </c>
      <c r="G4" s="200"/>
      <c r="H4" s="200"/>
      <c r="I4" s="376" t="s">
        <v>341</v>
      </c>
      <c r="J4" s="377"/>
      <c r="K4" s="377" t="s">
        <v>342</v>
      </c>
      <c r="L4" s="200"/>
      <c r="M4" s="200"/>
      <c r="N4" s="376" t="s">
        <v>341</v>
      </c>
      <c r="O4" s="377"/>
      <c r="P4" s="377" t="s">
        <v>342</v>
      </c>
      <c r="Q4" s="378"/>
      <c r="R4" s="374"/>
    </row>
    <row r="5" spans="1:20" ht="17.55" customHeight="1" x14ac:dyDescent="0.25">
      <c r="A5" s="379" t="s">
        <v>112</v>
      </c>
      <c r="B5" s="202"/>
      <c r="C5" s="202"/>
      <c r="D5" s="203">
        <v>1</v>
      </c>
      <c r="E5" s="204"/>
      <c r="F5" s="308"/>
      <c r="G5" s="200"/>
      <c r="H5" s="202"/>
      <c r="I5" s="203">
        <v>1</v>
      </c>
      <c r="J5" s="204"/>
      <c r="K5" s="308"/>
      <c r="L5" s="200"/>
      <c r="M5" s="202"/>
      <c r="N5" s="203">
        <v>1</v>
      </c>
      <c r="O5" s="204"/>
      <c r="P5" s="308"/>
      <c r="Q5" s="378"/>
    </row>
    <row r="6" spans="1:20" ht="31.5" customHeight="1" x14ac:dyDescent="0.25">
      <c r="A6" s="379"/>
      <c r="B6" s="202"/>
      <c r="C6" s="550" t="s">
        <v>343</v>
      </c>
      <c r="D6" s="211"/>
      <c r="E6" s="206"/>
      <c r="F6" s="79"/>
      <c r="G6" s="200"/>
      <c r="H6" s="550" t="s">
        <v>344</v>
      </c>
      <c r="I6" s="211"/>
      <c r="J6" s="206"/>
      <c r="K6" s="79"/>
      <c r="L6" s="200"/>
      <c r="M6" s="550" t="s">
        <v>345</v>
      </c>
      <c r="N6" s="211"/>
      <c r="O6" s="206"/>
      <c r="P6" s="79"/>
      <c r="Q6" s="378"/>
    </row>
    <row r="7" spans="1:20" ht="19.5" customHeight="1" x14ac:dyDescent="0.25">
      <c r="A7" s="379"/>
      <c r="B7" s="202"/>
      <c r="C7" s="227" t="s">
        <v>346</v>
      </c>
      <c r="D7" s="380">
        <f>'Preisblatt Los 1'!$D$63*'SVS UHR'!D6*'SVS UHR'!F5</f>
        <v>0</v>
      </c>
      <c r="E7" s="205"/>
      <c r="F7" s="206"/>
      <c r="G7" s="79"/>
      <c r="H7" s="200"/>
      <c r="I7" s="380">
        <f>'Preisblatt Los 1'!$D$63*'SVS UHR'!I6*'SVS UHR'!K5</f>
        <v>0</v>
      </c>
      <c r="J7" s="202"/>
      <c r="K7" s="202"/>
      <c r="L7" s="202"/>
      <c r="M7" s="202"/>
      <c r="N7" s="380">
        <f>'Preisblatt Los 1'!$D$63*'SVS UHR'!N6*'SVS UHR'!P5</f>
        <v>0</v>
      </c>
      <c r="O7" s="202"/>
      <c r="P7" s="79"/>
      <c r="Q7" s="378"/>
    </row>
    <row r="8" spans="1:20" ht="11.25" customHeight="1" x14ac:dyDescent="0.25">
      <c r="A8" s="379"/>
      <c r="B8" s="202"/>
      <c r="C8" s="202"/>
      <c r="D8" s="202"/>
      <c r="E8" s="202"/>
      <c r="F8" s="202"/>
      <c r="G8" s="202"/>
      <c r="H8" s="202"/>
      <c r="I8" s="202"/>
      <c r="J8" s="202"/>
      <c r="K8" s="202"/>
      <c r="L8" s="202"/>
      <c r="M8" s="202"/>
      <c r="N8" s="202"/>
      <c r="O8" s="202"/>
      <c r="P8" s="79"/>
      <c r="Q8" s="378"/>
    </row>
    <row r="9" spans="1:20" ht="13.8" x14ac:dyDescent="0.25">
      <c r="A9" s="379" t="s">
        <v>113</v>
      </c>
      <c r="B9" s="202"/>
      <c r="C9" s="207"/>
      <c r="D9" s="205"/>
      <c r="E9" s="208"/>
      <c r="F9" s="80"/>
      <c r="G9" s="200"/>
      <c r="H9" s="207"/>
      <c r="I9" s="205"/>
      <c r="J9" s="208"/>
      <c r="K9" s="80"/>
      <c r="L9" s="200"/>
      <c r="M9" s="207"/>
      <c r="N9" s="205"/>
      <c r="O9" s="208"/>
      <c r="P9" s="80"/>
      <c r="Q9" s="378"/>
    </row>
    <row r="10" spans="1:20" ht="5.25" customHeight="1" x14ac:dyDescent="0.25">
      <c r="A10" s="381"/>
      <c r="B10" s="209"/>
      <c r="C10" s="209"/>
      <c r="D10" s="210"/>
      <c r="E10" s="206"/>
      <c r="F10" s="79"/>
      <c r="G10" s="200"/>
      <c r="H10" s="209"/>
      <c r="I10" s="210"/>
      <c r="J10" s="206"/>
      <c r="K10" s="79"/>
      <c r="L10" s="200"/>
      <c r="M10" s="209"/>
      <c r="N10" s="210"/>
      <c r="O10" s="206"/>
      <c r="P10" s="79"/>
      <c r="Q10" s="378"/>
    </row>
    <row r="11" spans="1:20" ht="13.8" x14ac:dyDescent="0.25">
      <c r="A11" s="381" t="s">
        <v>114</v>
      </c>
      <c r="B11" s="201"/>
      <c r="C11" s="201"/>
      <c r="D11" s="210"/>
      <c r="E11" s="206"/>
      <c r="F11" s="79"/>
      <c r="G11" s="200"/>
      <c r="H11" s="201"/>
      <c r="I11" s="210"/>
      <c r="J11" s="206"/>
      <c r="K11" s="79"/>
      <c r="L11" s="200"/>
      <c r="M11" s="201"/>
      <c r="N11" s="210"/>
      <c r="O11" s="206"/>
      <c r="P11" s="79"/>
      <c r="Q11" s="378"/>
    </row>
    <row r="12" spans="1:20" ht="15" customHeight="1" x14ac:dyDescent="0.25">
      <c r="A12" s="382" t="s">
        <v>115</v>
      </c>
      <c r="B12" s="201"/>
      <c r="C12" s="201"/>
      <c r="D12" s="211"/>
      <c r="E12" s="206"/>
      <c r="F12" s="79"/>
      <c r="G12" s="200"/>
      <c r="H12" s="201"/>
      <c r="I12" s="211"/>
      <c r="J12" s="206"/>
      <c r="K12" s="79"/>
      <c r="L12" s="200"/>
      <c r="M12" s="201"/>
      <c r="N12" s="211"/>
      <c r="O12" s="206"/>
      <c r="P12" s="79"/>
      <c r="Q12" s="378"/>
    </row>
    <row r="13" spans="1:20" ht="15" customHeight="1" x14ac:dyDescent="0.25">
      <c r="A13" s="382" t="s">
        <v>116</v>
      </c>
      <c r="B13" s="201"/>
      <c r="C13" s="201"/>
      <c r="D13" s="211"/>
      <c r="E13" s="206"/>
      <c r="F13" s="79"/>
      <c r="G13" s="200"/>
      <c r="H13" s="201"/>
      <c r="I13" s="211"/>
      <c r="J13" s="206"/>
      <c r="K13" s="79"/>
      <c r="L13" s="200"/>
      <c r="M13" s="201"/>
      <c r="N13" s="211"/>
      <c r="O13" s="206"/>
      <c r="P13" s="79"/>
      <c r="Q13" s="378"/>
    </row>
    <row r="14" spans="1:20" ht="15" customHeight="1" x14ac:dyDescent="0.25">
      <c r="A14" s="382" t="s">
        <v>117</v>
      </c>
      <c r="B14" s="201"/>
      <c r="C14" s="201"/>
      <c r="D14" s="211"/>
      <c r="E14" s="206"/>
      <c r="F14" s="79"/>
      <c r="G14" s="200"/>
      <c r="H14" s="201"/>
      <c r="I14" s="211"/>
      <c r="J14" s="206"/>
      <c r="K14" s="79"/>
      <c r="L14" s="200"/>
      <c r="M14" s="201"/>
      <c r="N14" s="211"/>
      <c r="O14" s="206"/>
      <c r="P14" s="79"/>
      <c r="Q14" s="378"/>
    </row>
    <row r="15" spans="1:20" ht="15" customHeight="1" x14ac:dyDescent="0.25">
      <c r="A15" s="382" t="s">
        <v>118</v>
      </c>
      <c r="B15" s="201"/>
      <c r="C15" s="201"/>
      <c r="D15" s="211"/>
      <c r="E15" s="206"/>
      <c r="F15" s="79"/>
      <c r="G15" s="200"/>
      <c r="H15" s="201"/>
      <c r="I15" s="211"/>
      <c r="J15" s="206"/>
      <c r="K15" s="79"/>
      <c r="L15" s="200"/>
      <c r="M15" s="201"/>
      <c r="N15" s="211"/>
      <c r="O15" s="206"/>
      <c r="P15" s="79"/>
      <c r="Q15" s="378"/>
    </row>
    <row r="16" spans="1:20" ht="15" customHeight="1" x14ac:dyDescent="0.25">
      <c r="A16" s="382" t="s">
        <v>119</v>
      </c>
      <c r="B16" s="201"/>
      <c r="C16" s="201"/>
      <c r="D16" s="211"/>
      <c r="E16" s="206"/>
      <c r="F16" s="79"/>
      <c r="G16" s="200"/>
      <c r="H16" s="201"/>
      <c r="I16" s="211"/>
      <c r="J16" s="206"/>
      <c r="K16" s="79"/>
      <c r="L16" s="200"/>
      <c r="M16" s="201"/>
      <c r="N16" s="211"/>
      <c r="O16" s="206"/>
      <c r="P16" s="79"/>
      <c r="Q16" s="378"/>
    </row>
    <row r="17" spans="1:17" ht="15" customHeight="1" x14ac:dyDescent="0.25">
      <c r="A17" s="382" t="s">
        <v>120</v>
      </c>
      <c r="B17" s="201"/>
      <c r="C17" s="201"/>
      <c r="D17" s="211"/>
      <c r="E17" s="206"/>
      <c r="F17" s="79"/>
      <c r="G17" s="200"/>
      <c r="H17" s="201"/>
      <c r="I17" s="211"/>
      <c r="J17" s="206"/>
      <c r="K17" s="79"/>
      <c r="L17" s="200"/>
      <c r="M17" s="201"/>
      <c r="N17" s="211"/>
      <c r="O17" s="206"/>
      <c r="P17" s="79"/>
      <c r="Q17" s="378"/>
    </row>
    <row r="18" spans="1:17" ht="15" customHeight="1" x14ac:dyDescent="0.25">
      <c r="A18" s="382" t="s">
        <v>121</v>
      </c>
      <c r="B18" s="201"/>
      <c r="C18" s="201"/>
      <c r="D18" s="211"/>
      <c r="E18" s="206"/>
      <c r="F18" s="79"/>
      <c r="G18" s="200"/>
      <c r="H18" s="201"/>
      <c r="I18" s="211"/>
      <c r="J18" s="206"/>
      <c r="K18" s="79"/>
      <c r="L18" s="200"/>
      <c r="M18" s="201"/>
      <c r="N18" s="211"/>
      <c r="O18" s="206"/>
      <c r="P18" s="79"/>
      <c r="Q18" s="378"/>
    </row>
    <row r="19" spans="1:17" ht="13.8" x14ac:dyDescent="0.25">
      <c r="A19" s="383"/>
      <c r="B19" s="212" t="s">
        <v>122</v>
      </c>
      <c r="C19" s="213"/>
      <c r="D19" s="214">
        <f>SUM(D12:D18)</f>
        <v>0</v>
      </c>
      <c r="E19" s="204"/>
      <c r="F19" s="80"/>
      <c r="G19" s="200"/>
      <c r="H19" s="213"/>
      <c r="I19" s="214">
        <f>SUM(I12:I18)</f>
        <v>0</v>
      </c>
      <c r="J19" s="204"/>
      <c r="K19" s="80"/>
      <c r="L19" s="200"/>
      <c r="M19" s="213"/>
      <c r="N19" s="214">
        <f>SUM(N12:N18)</f>
        <v>0</v>
      </c>
      <c r="O19" s="204"/>
      <c r="P19" s="80"/>
      <c r="Q19" s="378"/>
    </row>
    <row r="20" spans="1:17" ht="6.6" customHeight="1" x14ac:dyDescent="0.25">
      <c r="A20" s="383"/>
      <c r="B20" s="215"/>
      <c r="C20" s="213"/>
      <c r="D20" s="216"/>
      <c r="E20" s="217"/>
      <c r="F20" s="80"/>
      <c r="G20" s="200"/>
      <c r="H20" s="213"/>
      <c r="I20" s="216"/>
      <c r="J20" s="217"/>
      <c r="K20" s="79"/>
      <c r="L20" s="200"/>
      <c r="M20" s="213"/>
      <c r="N20" s="216"/>
      <c r="O20" s="217"/>
      <c r="P20" s="79"/>
      <c r="Q20" s="378"/>
    </row>
    <row r="21" spans="1:17" ht="13.8" x14ac:dyDescent="0.25">
      <c r="A21" s="381" t="s">
        <v>123</v>
      </c>
      <c r="B21" s="209"/>
      <c r="C21" s="213"/>
      <c r="D21" s="216"/>
      <c r="E21" s="217"/>
      <c r="F21" s="80"/>
      <c r="G21" s="201"/>
      <c r="H21" s="213"/>
      <c r="I21" s="216"/>
      <c r="J21" s="217"/>
      <c r="K21" s="79"/>
      <c r="L21" s="201"/>
      <c r="M21" s="213"/>
      <c r="N21" s="216"/>
      <c r="O21" s="217"/>
      <c r="P21" s="79"/>
      <c r="Q21" s="384"/>
    </row>
    <row r="22" spans="1:17" ht="15" customHeight="1" x14ac:dyDescent="0.25">
      <c r="A22" s="382" t="s">
        <v>124</v>
      </c>
      <c r="B22" s="201"/>
      <c r="C22" s="213"/>
      <c r="D22" s="211"/>
      <c r="E22" s="206"/>
      <c r="F22" s="79"/>
      <c r="G22" s="201"/>
      <c r="H22" s="213"/>
      <c r="I22" s="211"/>
      <c r="J22" s="206"/>
      <c r="K22" s="79"/>
      <c r="L22" s="201"/>
      <c r="M22" s="213"/>
      <c r="N22" s="211"/>
      <c r="O22" s="206"/>
      <c r="P22" s="79"/>
      <c r="Q22" s="384"/>
    </row>
    <row r="23" spans="1:17" ht="15" customHeight="1" x14ac:dyDescent="0.25">
      <c r="A23" s="382" t="s">
        <v>125</v>
      </c>
      <c r="B23" s="201"/>
      <c r="C23" s="213"/>
      <c r="D23" s="385">
        <f>D$19*D22</f>
        <v>0</v>
      </c>
      <c r="E23" s="206"/>
      <c r="F23" s="79"/>
      <c r="G23" s="201"/>
      <c r="H23" s="213"/>
      <c r="I23" s="385">
        <f>I$19*I22</f>
        <v>0</v>
      </c>
      <c r="J23" s="206"/>
      <c r="K23" s="79"/>
      <c r="L23" s="201"/>
      <c r="M23" s="213"/>
      <c r="N23" s="385">
        <f>N$19*N22</f>
        <v>0</v>
      </c>
      <c r="O23" s="206"/>
      <c r="P23" s="79"/>
      <c r="Q23" s="384"/>
    </row>
    <row r="24" spans="1:17" ht="15" customHeight="1" x14ac:dyDescent="0.25">
      <c r="A24" s="382" t="s">
        <v>126</v>
      </c>
      <c r="B24" s="201"/>
      <c r="C24" s="213"/>
      <c r="D24" s="211"/>
      <c r="E24" s="206"/>
      <c r="F24" s="79"/>
      <c r="G24" s="201"/>
      <c r="H24" s="213"/>
      <c r="I24" s="211"/>
      <c r="J24" s="206"/>
      <c r="K24" s="79"/>
      <c r="L24" s="201"/>
      <c r="M24" s="213"/>
      <c r="N24" s="211"/>
      <c r="O24" s="206"/>
      <c r="P24" s="79"/>
      <c r="Q24" s="384"/>
    </row>
    <row r="25" spans="1:17" ht="15" customHeight="1" x14ac:dyDescent="0.25">
      <c r="A25" s="382" t="s">
        <v>127</v>
      </c>
      <c r="B25" s="201"/>
      <c r="C25" s="213"/>
      <c r="D25" s="385">
        <f>D$19*D24</f>
        <v>0</v>
      </c>
      <c r="E25" s="206"/>
      <c r="F25" s="79"/>
      <c r="G25" s="201"/>
      <c r="H25" s="213"/>
      <c r="I25" s="385">
        <f>I$19*I24</f>
        <v>0</v>
      </c>
      <c r="J25" s="206"/>
      <c r="K25" s="79"/>
      <c r="L25" s="201"/>
      <c r="M25" s="213"/>
      <c r="N25" s="385">
        <f>N$19*N24</f>
        <v>0</v>
      </c>
      <c r="O25" s="206"/>
      <c r="P25" s="79"/>
      <c r="Q25" s="384"/>
    </row>
    <row r="26" spans="1:17" ht="15" customHeight="1" x14ac:dyDescent="0.25">
      <c r="A26" s="382" t="s">
        <v>128</v>
      </c>
      <c r="B26" s="201"/>
      <c r="C26" s="213"/>
      <c r="D26" s="211"/>
      <c r="E26" s="206"/>
      <c r="F26" s="79"/>
      <c r="G26" s="201"/>
      <c r="H26" s="213"/>
      <c r="I26" s="211"/>
      <c r="J26" s="206"/>
      <c r="K26" s="79"/>
      <c r="L26" s="201"/>
      <c r="M26" s="213"/>
      <c r="N26" s="211"/>
      <c r="O26" s="206"/>
      <c r="P26" s="79"/>
      <c r="Q26" s="384"/>
    </row>
    <row r="27" spans="1:17" ht="15" customHeight="1" x14ac:dyDescent="0.25">
      <c r="A27" s="382" t="s">
        <v>129</v>
      </c>
      <c r="B27" s="201"/>
      <c r="C27" s="213"/>
      <c r="D27" s="385">
        <f>D$19*D26</f>
        <v>0</v>
      </c>
      <c r="E27" s="206"/>
      <c r="F27" s="79"/>
      <c r="G27" s="201"/>
      <c r="H27" s="213"/>
      <c r="I27" s="385">
        <f>I$19*I26</f>
        <v>0</v>
      </c>
      <c r="J27" s="206"/>
      <c r="K27" s="79"/>
      <c r="L27" s="201"/>
      <c r="M27" s="213"/>
      <c r="N27" s="385">
        <f>N$19*N26</f>
        <v>0</v>
      </c>
      <c r="O27" s="206"/>
      <c r="P27" s="79"/>
      <c r="Q27" s="384"/>
    </row>
    <row r="28" spans="1:17" ht="15" customHeight="1" x14ac:dyDescent="0.25">
      <c r="A28" s="382" t="s">
        <v>130</v>
      </c>
      <c r="B28" s="201"/>
      <c r="C28" s="213"/>
      <c r="D28" s="211"/>
      <c r="E28" s="206"/>
      <c r="F28" s="79"/>
      <c r="G28" s="201"/>
      <c r="H28" s="213"/>
      <c r="I28" s="211"/>
      <c r="J28" s="206"/>
      <c r="K28" s="79"/>
      <c r="L28" s="201"/>
      <c r="M28" s="213"/>
      <c r="N28" s="211"/>
      <c r="O28" s="206"/>
      <c r="P28" s="79"/>
      <c r="Q28" s="384"/>
    </row>
    <row r="29" spans="1:17" ht="15" customHeight="1" x14ac:dyDescent="0.25">
      <c r="A29" s="382" t="s">
        <v>131</v>
      </c>
      <c r="B29" s="201"/>
      <c r="C29" s="213"/>
      <c r="D29" s="385">
        <f>D$19*D28</f>
        <v>0</v>
      </c>
      <c r="E29" s="206"/>
      <c r="F29" s="79"/>
      <c r="G29" s="200"/>
      <c r="H29" s="213"/>
      <c r="I29" s="385">
        <f>I$19*I28</f>
        <v>0</v>
      </c>
      <c r="J29" s="206"/>
      <c r="K29" s="79"/>
      <c r="L29" s="200"/>
      <c r="M29" s="213"/>
      <c r="N29" s="385">
        <f>N$19*N28</f>
        <v>0</v>
      </c>
      <c r="O29" s="206"/>
      <c r="P29" s="79"/>
      <c r="Q29" s="378"/>
    </row>
    <row r="30" spans="1:17" ht="15" customHeight="1" x14ac:dyDescent="0.25">
      <c r="A30" s="382" t="s">
        <v>132</v>
      </c>
      <c r="B30" s="201"/>
      <c r="C30" s="201"/>
      <c r="D30" s="211"/>
      <c r="E30" s="206"/>
      <c r="F30" s="79"/>
      <c r="G30" s="200"/>
      <c r="H30" s="213"/>
      <c r="I30" s="211"/>
      <c r="J30" s="206"/>
      <c r="K30" s="79"/>
      <c r="L30" s="200"/>
      <c r="M30" s="213"/>
      <c r="N30" s="211"/>
      <c r="O30" s="206"/>
      <c r="P30" s="79"/>
      <c r="Q30" s="378"/>
    </row>
    <row r="31" spans="1:17" ht="13.8" x14ac:dyDescent="0.25">
      <c r="A31" s="382" t="s">
        <v>133</v>
      </c>
      <c r="B31" s="201"/>
      <c r="C31" s="201"/>
      <c r="D31" s="385">
        <f>D$19*D30</f>
        <v>0</v>
      </c>
      <c r="E31" s="206"/>
      <c r="F31" s="79"/>
      <c r="G31" s="200"/>
      <c r="H31" s="201"/>
      <c r="I31" s="385">
        <f>I$19*I30</f>
        <v>0</v>
      </c>
      <c r="J31" s="206"/>
      <c r="K31" s="79"/>
      <c r="L31" s="200"/>
      <c r="M31" s="201"/>
      <c r="N31" s="385">
        <f>N$19*N30</f>
        <v>0</v>
      </c>
      <c r="O31" s="206"/>
      <c r="P31" s="79"/>
      <c r="Q31" s="378"/>
    </row>
    <row r="32" spans="1:17" ht="13.8" x14ac:dyDescent="0.25">
      <c r="A32" s="386" t="s">
        <v>134</v>
      </c>
      <c r="B32" s="212"/>
      <c r="C32" s="213"/>
      <c r="D32" s="214">
        <f>SUM(D22:D31)</f>
        <v>0</v>
      </c>
      <c r="E32" s="204"/>
      <c r="F32" s="80"/>
      <c r="G32" s="218"/>
      <c r="H32" s="213"/>
      <c r="I32" s="214">
        <f>SUM(I22:I31)</f>
        <v>0</v>
      </c>
      <c r="J32" s="204"/>
      <c r="K32" s="80"/>
      <c r="L32" s="218"/>
      <c r="M32" s="213"/>
      <c r="N32" s="214">
        <f>SUM(N22:N31)</f>
        <v>0</v>
      </c>
      <c r="O32" s="204"/>
      <c r="P32" s="80"/>
      <c r="Q32" s="387"/>
    </row>
    <row r="33" spans="1:17" ht="8.1" customHeight="1" x14ac:dyDescent="0.25">
      <c r="A33" s="382"/>
      <c r="B33" s="201"/>
      <c r="C33" s="201"/>
      <c r="D33" s="216"/>
      <c r="E33" s="217"/>
      <c r="F33" s="79"/>
      <c r="G33" s="200"/>
      <c r="H33" s="201"/>
      <c r="I33" s="216"/>
      <c r="J33" s="217"/>
      <c r="K33" s="79"/>
      <c r="L33" s="200"/>
      <c r="M33" s="201"/>
      <c r="N33" s="216"/>
      <c r="O33" s="217"/>
      <c r="P33" s="79"/>
      <c r="Q33" s="378"/>
    </row>
    <row r="34" spans="1:17" ht="13.8" x14ac:dyDescent="0.25">
      <c r="A34" s="386" t="s">
        <v>135</v>
      </c>
      <c r="B34" s="212"/>
      <c r="C34" s="201"/>
      <c r="D34" s="214">
        <f>D32+D19</f>
        <v>0</v>
      </c>
      <c r="E34" s="217"/>
      <c r="F34" s="79"/>
      <c r="G34" s="200"/>
      <c r="H34" s="201"/>
      <c r="I34" s="214">
        <f>I32+I19</f>
        <v>0</v>
      </c>
      <c r="J34" s="217"/>
      <c r="K34" s="79"/>
      <c r="L34" s="200"/>
      <c r="M34" s="201"/>
      <c r="N34" s="214">
        <f>N32+N19</f>
        <v>0</v>
      </c>
      <c r="O34" s="217"/>
      <c r="P34" s="79"/>
      <c r="Q34" s="378"/>
    </row>
    <row r="35" spans="1:17" ht="7.35" customHeight="1" x14ac:dyDescent="0.25">
      <c r="A35" s="382"/>
      <c r="B35" s="201"/>
      <c r="C35" s="201"/>
      <c r="D35" s="216"/>
      <c r="E35" s="217"/>
      <c r="F35" s="79"/>
      <c r="G35" s="200"/>
      <c r="H35" s="201"/>
      <c r="I35" s="216"/>
      <c r="J35" s="217"/>
      <c r="K35" s="79"/>
      <c r="L35" s="200"/>
      <c r="M35" s="201"/>
      <c r="N35" s="216"/>
      <c r="O35" s="217"/>
      <c r="P35" s="79"/>
      <c r="Q35" s="378"/>
    </row>
    <row r="36" spans="1:17" ht="13.8" x14ac:dyDescent="0.25">
      <c r="A36" s="381" t="s">
        <v>136</v>
      </c>
      <c r="B36" s="209"/>
      <c r="C36" s="209"/>
      <c r="D36" s="216"/>
      <c r="E36" s="206"/>
      <c r="F36" s="79"/>
      <c r="G36" s="200"/>
      <c r="H36" s="209"/>
      <c r="I36" s="216"/>
      <c r="J36" s="206"/>
      <c r="K36" s="79"/>
      <c r="L36" s="200"/>
      <c r="M36" s="209"/>
      <c r="N36" s="216"/>
      <c r="O36" s="206"/>
      <c r="P36" s="79"/>
      <c r="Q36" s="378"/>
    </row>
    <row r="37" spans="1:17" ht="15" customHeight="1" x14ac:dyDescent="0.25">
      <c r="A37" s="388" t="s">
        <v>137</v>
      </c>
      <c r="B37" s="219"/>
      <c r="C37" s="209"/>
      <c r="D37" s="211"/>
      <c r="E37" s="206"/>
      <c r="F37" s="79"/>
      <c r="G37" s="200"/>
      <c r="H37" s="209"/>
      <c r="I37" s="211"/>
      <c r="J37" s="206"/>
      <c r="K37" s="79"/>
      <c r="L37" s="200"/>
      <c r="M37" s="209"/>
      <c r="N37" s="211"/>
      <c r="O37" s="206"/>
      <c r="P37" s="79"/>
      <c r="Q37" s="378"/>
    </row>
    <row r="38" spans="1:17" ht="15" customHeight="1" x14ac:dyDescent="0.25">
      <c r="A38" s="388" t="s">
        <v>138</v>
      </c>
      <c r="B38" s="219"/>
      <c r="C38" s="209"/>
      <c r="D38" s="211"/>
      <c r="E38" s="206"/>
      <c r="F38" s="79"/>
      <c r="G38" s="200"/>
      <c r="H38" s="209"/>
      <c r="I38" s="211"/>
      <c r="J38" s="206"/>
      <c r="K38" s="79"/>
      <c r="L38" s="200"/>
      <c r="M38" s="209"/>
      <c r="N38" s="211"/>
      <c r="O38" s="206"/>
      <c r="P38" s="79"/>
      <c r="Q38" s="378"/>
    </row>
    <row r="39" spans="1:17" ht="13.8" x14ac:dyDescent="0.25">
      <c r="A39" s="386" t="s">
        <v>69</v>
      </c>
      <c r="B39" s="212"/>
      <c r="C39" s="213"/>
      <c r="D39" s="214">
        <f>SUM(D37:D38)+D34</f>
        <v>0</v>
      </c>
      <c r="E39" s="204"/>
      <c r="F39" s="80"/>
      <c r="G39" s="218"/>
      <c r="H39" s="213"/>
      <c r="I39" s="214">
        <f>SUM(I37:I38)+I34</f>
        <v>0</v>
      </c>
      <c r="J39" s="204"/>
      <c r="K39" s="80"/>
      <c r="L39" s="218"/>
      <c r="M39" s="213"/>
      <c r="N39" s="214">
        <f>SUM(N37:N38)+N34</f>
        <v>0</v>
      </c>
      <c r="O39" s="204"/>
      <c r="P39" s="80"/>
      <c r="Q39" s="387"/>
    </row>
    <row r="40" spans="1:17" ht="15.75" customHeight="1" x14ac:dyDescent="0.25">
      <c r="A40" s="382"/>
      <c r="B40" s="209"/>
      <c r="C40" s="209"/>
      <c r="D40" s="216"/>
      <c r="E40" s="217"/>
      <c r="F40" s="79"/>
      <c r="G40" s="200"/>
      <c r="H40" s="209"/>
      <c r="I40" s="216"/>
      <c r="J40" s="217"/>
      <c r="K40" s="79"/>
      <c r="L40" s="200"/>
      <c r="M40" s="209"/>
      <c r="N40" s="216"/>
      <c r="O40" s="217"/>
      <c r="P40" s="389" t="s">
        <v>347</v>
      </c>
      <c r="Q40" s="378"/>
    </row>
    <row r="41" spans="1:17" ht="13.8" x14ac:dyDescent="0.25">
      <c r="A41" s="379" t="s">
        <v>139</v>
      </c>
      <c r="B41" s="220"/>
      <c r="C41" s="220"/>
      <c r="D41" s="216"/>
      <c r="E41" s="217"/>
      <c r="F41" s="79"/>
      <c r="G41" s="200"/>
      <c r="H41" s="220"/>
      <c r="I41" s="216"/>
      <c r="J41" s="217"/>
      <c r="K41" s="79"/>
      <c r="L41" s="200"/>
      <c r="M41" s="220"/>
      <c r="N41" s="216"/>
      <c r="O41" s="217"/>
      <c r="P41" s="390" t="s">
        <v>348</v>
      </c>
      <c r="Q41" s="378"/>
    </row>
    <row r="42" spans="1:17" ht="15" customHeight="1" x14ac:dyDescent="0.25">
      <c r="A42" s="391" t="s">
        <v>349</v>
      </c>
      <c r="B42" s="219"/>
      <c r="C42" s="201"/>
      <c r="D42" s="392" t="str">
        <f>IFERROR(P42*$D$6/$D$7,"")</f>
        <v/>
      </c>
      <c r="E42" s="206"/>
      <c r="F42" s="79"/>
      <c r="G42" s="200"/>
      <c r="H42" s="201"/>
      <c r="I42" s="392" t="str">
        <f>IFERROR(P42*$I$6/$I$7,"")</f>
        <v/>
      </c>
      <c r="J42" s="206"/>
      <c r="K42" s="79"/>
      <c r="L42" s="200"/>
      <c r="M42" s="201"/>
      <c r="N42" s="392" t="str">
        <f>IFERROR(P42*$N$6/$N$7,"")</f>
        <v/>
      </c>
      <c r="O42" s="206"/>
      <c r="P42" s="390">
        <f>'Preisblatt Los 1'!G70*'Preisblatt Los 1'!H70</f>
        <v>0</v>
      </c>
      <c r="Q42" s="378"/>
    </row>
    <row r="43" spans="1:17" ht="15" customHeight="1" x14ac:dyDescent="0.25">
      <c r="A43" s="391" t="s">
        <v>140</v>
      </c>
      <c r="B43" s="219"/>
      <c r="C43" s="201"/>
      <c r="D43" s="392" t="str">
        <f>IFERROR(P43*$D$6/$D$7,"")</f>
        <v/>
      </c>
      <c r="E43" s="206"/>
      <c r="F43" s="79"/>
      <c r="G43" s="200"/>
      <c r="H43" s="201"/>
      <c r="I43" s="392" t="str">
        <f>IFERROR(P43*$I$6/$I$7,"")</f>
        <v/>
      </c>
      <c r="J43" s="206"/>
      <c r="K43" s="79"/>
      <c r="L43" s="200"/>
      <c r="M43" s="201"/>
      <c r="N43" s="392" t="str">
        <f>IFERROR(P43*$N$6/$N$7,"")</f>
        <v/>
      </c>
      <c r="O43" s="206"/>
      <c r="P43" s="390">
        <f>'Preisblatt Los 1'!G69*'Preisblatt Los 1'!H69</f>
        <v>0</v>
      </c>
      <c r="Q43" s="378"/>
    </row>
    <row r="44" spans="1:17" ht="15" customHeight="1" x14ac:dyDescent="0.25">
      <c r="A44" s="391" t="s">
        <v>141</v>
      </c>
      <c r="B44" s="219"/>
      <c r="C44" s="201"/>
      <c r="D44" s="211"/>
      <c r="E44" s="206"/>
      <c r="F44" s="79"/>
      <c r="G44" s="200"/>
      <c r="H44" s="201"/>
      <c r="I44" s="211"/>
      <c r="J44" s="206"/>
      <c r="K44" s="79"/>
      <c r="L44" s="200"/>
      <c r="M44" s="201"/>
      <c r="N44" s="211"/>
      <c r="O44" s="206"/>
      <c r="P44" s="79"/>
      <c r="Q44" s="378"/>
    </row>
    <row r="45" spans="1:17" ht="15" customHeight="1" x14ac:dyDescent="0.25">
      <c r="A45" s="391" t="s">
        <v>142</v>
      </c>
      <c r="B45" s="219"/>
      <c r="C45" s="201"/>
      <c r="D45" s="211"/>
      <c r="E45" s="206"/>
      <c r="F45" s="79"/>
      <c r="G45" s="200"/>
      <c r="H45" s="201"/>
      <c r="I45" s="211"/>
      <c r="J45" s="206"/>
      <c r="K45" s="79"/>
      <c r="L45" s="200"/>
      <c r="M45" s="201"/>
      <c r="N45" s="211"/>
      <c r="O45" s="206"/>
      <c r="P45" s="79"/>
      <c r="Q45" s="378"/>
    </row>
    <row r="46" spans="1:17" ht="15" customHeight="1" x14ac:dyDescent="0.25">
      <c r="A46" s="391" t="s">
        <v>350</v>
      </c>
      <c r="B46" s="219"/>
      <c r="C46" s="201"/>
      <c r="D46" s="211"/>
      <c r="E46" s="206"/>
      <c r="F46" s="79"/>
      <c r="G46" s="200"/>
      <c r="H46" s="201"/>
      <c r="I46" s="211"/>
      <c r="J46" s="206"/>
      <c r="K46" s="79"/>
      <c r="L46" s="200"/>
      <c r="M46" s="201"/>
      <c r="N46" s="211"/>
      <c r="O46" s="206"/>
      <c r="P46" s="79"/>
      <c r="Q46" s="378"/>
    </row>
    <row r="47" spans="1:17" ht="13.8" x14ac:dyDescent="0.25">
      <c r="A47" s="386" t="s">
        <v>143</v>
      </c>
      <c r="B47" s="212"/>
      <c r="C47" s="200"/>
      <c r="D47" s="214">
        <f>SUM(D42:D46)</f>
        <v>0</v>
      </c>
      <c r="E47" s="204"/>
      <c r="F47" s="80"/>
      <c r="G47" s="218"/>
      <c r="H47" s="200"/>
      <c r="I47" s="214">
        <f>SUM(I42:I46)</f>
        <v>0</v>
      </c>
      <c r="J47" s="204"/>
      <c r="K47" s="80"/>
      <c r="L47" s="218"/>
      <c r="M47" s="200"/>
      <c r="N47" s="214">
        <f>SUM(N42:N46)</f>
        <v>0</v>
      </c>
      <c r="O47" s="204"/>
      <c r="P47" s="80"/>
      <c r="Q47" s="387"/>
    </row>
    <row r="48" spans="1:17" ht="5.25" customHeight="1" x14ac:dyDescent="0.25">
      <c r="A48" s="381"/>
      <c r="B48" s="202"/>
      <c r="C48" s="209"/>
      <c r="D48" s="216"/>
      <c r="E48" s="217"/>
      <c r="F48" s="79"/>
      <c r="G48" s="200"/>
      <c r="H48" s="209"/>
      <c r="I48" s="216"/>
      <c r="J48" s="217"/>
      <c r="K48" s="79"/>
      <c r="L48" s="200"/>
      <c r="M48" s="209"/>
      <c r="N48" s="216"/>
      <c r="O48" s="217"/>
      <c r="P48" s="79"/>
      <c r="Q48" s="378"/>
    </row>
    <row r="49" spans="1:17" ht="13.8" x14ac:dyDescent="0.25">
      <c r="A49" s="379" t="s">
        <v>144</v>
      </c>
      <c r="B49" s="220"/>
      <c r="C49" s="220"/>
      <c r="D49" s="216"/>
      <c r="E49" s="217"/>
      <c r="F49" s="79"/>
      <c r="G49" s="200"/>
      <c r="H49" s="220"/>
      <c r="I49" s="216"/>
      <c r="J49" s="217"/>
      <c r="K49" s="79"/>
      <c r="L49" s="200"/>
      <c r="M49" s="220"/>
      <c r="N49" s="216"/>
      <c r="O49" s="217"/>
      <c r="P49" s="79"/>
      <c r="Q49" s="378"/>
    </row>
    <row r="50" spans="1:17" ht="13.8" x14ac:dyDescent="0.25">
      <c r="A50" s="381" t="s">
        <v>145</v>
      </c>
      <c r="B50" s="209"/>
      <c r="C50" s="201"/>
      <c r="D50" s="216"/>
      <c r="E50" s="206"/>
      <c r="F50" s="79"/>
      <c r="G50" s="200"/>
      <c r="H50" s="201"/>
      <c r="I50" s="216"/>
      <c r="J50" s="206"/>
      <c r="K50" s="79"/>
      <c r="L50" s="200"/>
      <c r="M50" s="201"/>
      <c r="N50" s="216"/>
      <c r="O50" s="206"/>
      <c r="P50" s="79"/>
      <c r="Q50" s="378"/>
    </row>
    <row r="51" spans="1:17" ht="15" customHeight="1" x14ac:dyDescent="0.25">
      <c r="A51" s="388" t="s">
        <v>146</v>
      </c>
      <c r="B51" s="209"/>
      <c r="C51" s="201"/>
      <c r="D51" s="211"/>
      <c r="E51" s="206"/>
      <c r="F51" s="79"/>
      <c r="G51" s="200"/>
      <c r="H51" s="201"/>
      <c r="I51" s="211"/>
      <c r="J51" s="206"/>
      <c r="K51" s="79"/>
      <c r="L51" s="200"/>
      <c r="M51" s="201"/>
      <c r="N51" s="211"/>
      <c r="O51" s="206"/>
      <c r="P51" s="79"/>
      <c r="Q51" s="378"/>
    </row>
    <row r="52" spans="1:17" ht="15" customHeight="1" x14ac:dyDescent="0.25">
      <c r="A52" s="388" t="s">
        <v>147</v>
      </c>
      <c r="B52" s="209"/>
      <c r="C52" s="201"/>
      <c r="D52" s="211"/>
      <c r="E52" s="206"/>
      <c r="F52" s="79"/>
      <c r="G52" s="200"/>
      <c r="H52" s="201"/>
      <c r="I52" s="211"/>
      <c r="J52" s="206"/>
      <c r="K52" s="79"/>
      <c r="L52" s="200"/>
      <c r="M52" s="201"/>
      <c r="N52" s="211"/>
      <c r="O52" s="206"/>
      <c r="P52" s="79"/>
      <c r="Q52" s="378"/>
    </row>
    <row r="53" spans="1:17" ht="15" customHeight="1" x14ac:dyDescent="0.25">
      <c r="A53" s="381" t="s">
        <v>148</v>
      </c>
      <c r="B53" s="209"/>
      <c r="C53" s="201"/>
      <c r="D53" s="211"/>
      <c r="E53" s="206"/>
      <c r="F53" s="79"/>
      <c r="G53" s="200"/>
      <c r="H53" s="201"/>
      <c r="I53" s="211"/>
      <c r="J53" s="206"/>
      <c r="K53" s="79"/>
      <c r="L53" s="200"/>
      <c r="M53" s="201"/>
      <c r="N53" s="211"/>
      <c r="O53" s="206"/>
      <c r="P53" s="79"/>
      <c r="Q53" s="378"/>
    </row>
    <row r="54" spans="1:17" ht="15" customHeight="1" x14ac:dyDescent="0.25">
      <c r="A54" s="381" t="s">
        <v>149</v>
      </c>
      <c r="B54" s="209"/>
      <c r="C54" s="201"/>
      <c r="D54" s="216"/>
      <c r="E54" s="206"/>
      <c r="F54" s="79"/>
      <c r="G54" s="200"/>
      <c r="H54" s="201"/>
      <c r="I54" s="216"/>
      <c r="J54" s="206"/>
      <c r="K54" s="79"/>
      <c r="L54" s="200"/>
      <c r="M54" s="201"/>
      <c r="N54" s="216"/>
      <c r="O54" s="206"/>
      <c r="P54" s="79"/>
      <c r="Q54" s="378"/>
    </row>
    <row r="55" spans="1:17" ht="15" customHeight="1" x14ac:dyDescent="0.25">
      <c r="A55" s="388" t="s">
        <v>150</v>
      </c>
      <c r="B55" s="209"/>
      <c r="C55" s="201"/>
      <c r="D55" s="211"/>
      <c r="E55" s="206"/>
      <c r="F55" s="79"/>
      <c r="G55" s="200"/>
      <c r="H55" s="201"/>
      <c r="I55" s="211"/>
      <c r="J55" s="206"/>
      <c r="K55" s="79"/>
      <c r="L55" s="200"/>
      <c r="M55" s="201"/>
      <c r="N55" s="211"/>
      <c r="O55" s="206"/>
      <c r="P55" s="79"/>
      <c r="Q55" s="378"/>
    </row>
    <row r="56" spans="1:17" ht="15" customHeight="1" x14ac:dyDescent="0.25">
      <c r="A56" s="388" t="s">
        <v>151</v>
      </c>
      <c r="B56" s="209"/>
      <c r="C56" s="201"/>
      <c r="D56" s="211"/>
      <c r="E56" s="206"/>
      <c r="F56" s="79"/>
      <c r="G56" s="200"/>
      <c r="H56" s="201"/>
      <c r="I56" s="211"/>
      <c r="J56" s="206"/>
      <c r="K56" s="79"/>
      <c r="L56" s="200"/>
      <c r="M56" s="201"/>
      <c r="N56" s="211"/>
      <c r="O56" s="206"/>
      <c r="P56" s="79"/>
      <c r="Q56" s="378"/>
    </row>
    <row r="57" spans="1:17" ht="15" customHeight="1" x14ac:dyDescent="0.25">
      <c r="A57" s="391" t="s">
        <v>152</v>
      </c>
      <c r="B57" s="209"/>
      <c r="C57" s="201"/>
      <c r="D57" s="211"/>
      <c r="E57" s="206"/>
      <c r="F57" s="79"/>
      <c r="G57" s="200"/>
      <c r="H57" s="201"/>
      <c r="I57" s="211"/>
      <c r="J57" s="206"/>
      <c r="K57" s="79"/>
      <c r="L57" s="200"/>
      <c r="M57" s="201"/>
      <c r="N57" s="211"/>
      <c r="O57" s="206"/>
      <c r="P57" s="79"/>
      <c r="Q57" s="378"/>
    </row>
    <row r="58" spans="1:17" ht="15" customHeight="1" x14ac:dyDescent="0.25">
      <c r="A58" s="393" t="s">
        <v>153</v>
      </c>
      <c r="B58" s="201"/>
      <c r="C58" s="201"/>
      <c r="D58" s="211"/>
      <c r="E58" s="206"/>
      <c r="F58" s="79"/>
      <c r="G58" s="200"/>
      <c r="H58" s="201"/>
      <c r="I58" s="211"/>
      <c r="J58" s="206"/>
      <c r="K58" s="79"/>
      <c r="L58" s="200"/>
      <c r="M58" s="201"/>
      <c r="N58" s="211"/>
      <c r="O58" s="206"/>
      <c r="P58" s="79"/>
      <c r="Q58" s="378"/>
    </row>
    <row r="59" spans="1:17" ht="15" customHeight="1" x14ac:dyDescent="0.25">
      <c r="A59" s="393" t="s">
        <v>832</v>
      </c>
      <c r="B59" s="201"/>
      <c r="C59" s="201"/>
      <c r="D59" s="211"/>
      <c r="E59" s="206"/>
      <c r="F59" s="79"/>
      <c r="G59" s="200"/>
      <c r="H59" s="201"/>
      <c r="I59" s="211"/>
      <c r="J59" s="206"/>
      <c r="K59" s="79"/>
      <c r="L59" s="200"/>
      <c r="M59" s="201"/>
      <c r="N59" s="211"/>
      <c r="O59" s="206"/>
      <c r="P59" s="79"/>
      <c r="Q59" s="378"/>
    </row>
    <row r="60" spans="1:17" ht="15" customHeight="1" x14ac:dyDescent="0.25">
      <c r="A60" s="391" t="s">
        <v>154</v>
      </c>
      <c r="B60" s="201"/>
      <c r="C60" s="201"/>
      <c r="D60" s="211"/>
      <c r="E60" s="206"/>
      <c r="F60" s="79"/>
      <c r="G60" s="200"/>
      <c r="H60" s="201"/>
      <c r="I60" s="211"/>
      <c r="J60" s="206"/>
      <c r="K60" s="79"/>
      <c r="L60" s="200"/>
      <c r="M60" s="201"/>
      <c r="N60" s="211"/>
      <c r="O60" s="206"/>
      <c r="P60" s="79"/>
      <c r="Q60" s="378"/>
    </row>
    <row r="61" spans="1:17" ht="15" customHeight="1" x14ac:dyDescent="0.25">
      <c r="A61" s="391" t="s">
        <v>155</v>
      </c>
      <c r="B61" s="201"/>
      <c r="C61" s="201"/>
      <c r="D61" s="211"/>
      <c r="E61" s="206"/>
      <c r="F61" s="79"/>
      <c r="G61" s="200"/>
      <c r="H61" s="201"/>
      <c r="I61" s="211"/>
      <c r="J61" s="206"/>
      <c r="K61" s="79"/>
      <c r="L61" s="200"/>
      <c r="M61" s="201"/>
      <c r="N61" s="211"/>
      <c r="O61" s="206"/>
      <c r="P61" s="79"/>
      <c r="Q61" s="378"/>
    </row>
    <row r="62" spans="1:17" ht="15" customHeight="1" x14ac:dyDescent="0.25">
      <c r="A62" s="391" t="s">
        <v>156</v>
      </c>
      <c r="B62" s="201"/>
      <c r="C62" s="201"/>
      <c r="D62" s="211"/>
      <c r="E62" s="206"/>
      <c r="F62" s="79"/>
      <c r="G62" s="200"/>
      <c r="H62" s="201"/>
      <c r="I62" s="211"/>
      <c r="J62" s="206"/>
      <c r="K62" s="79"/>
      <c r="L62" s="200"/>
      <c r="M62" s="201"/>
      <c r="N62" s="211"/>
      <c r="O62" s="206"/>
      <c r="P62" s="79"/>
      <c r="Q62" s="378"/>
    </row>
    <row r="63" spans="1:17" ht="13.8" x14ac:dyDescent="0.25">
      <c r="A63" s="386" t="s">
        <v>157</v>
      </c>
      <c r="B63" s="212"/>
      <c r="C63" s="200"/>
      <c r="D63" s="214">
        <f>SUM(D51:D62)</f>
        <v>0</v>
      </c>
      <c r="E63" s="204"/>
      <c r="F63" s="80"/>
      <c r="G63" s="218"/>
      <c r="H63" s="200"/>
      <c r="I63" s="214">
        <f>SUM(I51:I62)</f>
        <v>0</v>
      </c>
      <c r="J63" s="204"/>
      <c r="K63" s="80"/>
      <c r="L63" s="218"/>
      <c r="M63" s="200"/>
      <c r="N63" s="214">
        <f>SUM(N51:N62)</f>
        <v>0</v>
      </c>
      <c r="O63" s="204"/>
      <c r="P63" s="80"/>
      <c r="Q63" s="387"/>
    </row>
    <row r="64" spans="1:17" ht="8.1" customHeight="1" x14ac:dyDescent="0.25">
      <c r="A64" s="381"/>
      <c r="B64" s="209"/>
      <c r="C64" s="209"/>
      <c r="D64" s="216"/>
      <c r="E64" s="217"/>
      <c r="F64" s="79"/>
      <c r="G64" s="200"/>
      <c r="H64" s="209"/>
      <c r="I64" s="216"/>
      <c r="J64" s="217"/>
      <c r="K64" s="79"/>
      <c r="L64" s="200"/>
      <c r="M64" s="209"/>
      <c r="N64" s="216"/>
      <c r="O64" s="217"/>
      <c r="P64" s="79"/>
      <c r="Q64" s="378"/>
    </row>
    <row r="65" spans="1:17" ht="13.8" x14ac:dyDescent="0.25">
      <c r="A65" s="379" t="s">
        <v>70</v>
      </c>
      <c r="B65" s="220"/>
      <c r="C65" s="220"/>
      <c r="D65" s="214">
        <f>+D5+D39+D47+D63</f>
        <v>1</v>
      </c>
      <c r="E65" s="204"/>
      <c r="F65" s="80"/>
      <c r="G65" s="218"/>
      <c r="H65" s="220"/>
      <c r="I65" s="214">
        <f>+I5+I39+I47+I63</f>
        <v>1</v>
      </c>
      <c r="J65" s="204"/>
      <c r="K65" s="80"/>
      <c r="L65" s="218"/>
      <c r="M65" s="220"/>
      <c r="N65" s="214">
        <f>+N5+N39+N47+N63</f>
        <v>1</v>
      </c>
      <c r="O65" s="204"/>
      <c r="P65" s="80"/>
      <c r="Q65" s="387"/>
    </row>
    <row r="66" spans="1:17" ht="6.6" customHeight="1" x14ac:dyDescent="0.25">
      <c r="A66" s="381"/>
      <c r="B66" s="209"/>
      <c r="C66" s="209"/>
      <c r="D66" s="216"/>
      <c r="E66" s="217"/>
      <c r="F66" s="79"/>
      <c r="G66" s="200"/>
      <c r="H66" s="209"/>
      <c r="I66" s="216"/>
      <c r="J66" s="217"/>
      <c r="K66" s="79"/>
      <c r="L66" s="200"/>
      <c r="M66" s="209"/>
      <c r="N66" s="216"/>
      <c r="O66" s="217"/>
      <c r="P66" s="79"/>
      <c r="Q66" s="378"/>
    </row>
    <row r="67" spans="1:17" ht="15" customHeight="1" x14ac:dyDescent="0.25">
      <c r="A67" s="379" t="s">
        <v>158</v>
      </c>
      <c r="B67" s="220"/>
      <c r="C67" s="220"/>
      <c r="D67" s="221"/>
      <c r="E67" s="204"/>
      <c r="F67" s="80"/>
      <c r="G67" s="218"/>
      <c r="H67" s="220"/>
      <c r="I67" s="221"/>
      <c r="J67" s="204"/>
      <c r="K67" s="80"/>
      <c r="L67" s="218"/>
      <c r="M67" s="220"/>
      <c r="N67" s="221"/>
      <c r="O67" s="204"/>
      <c r="P67" s="80"/>
      <c r="Q67" s="387"/>
    </row>
    <row r="68" spans="1:17" ht="7.35" customHeight="1" x14ac:dyDescent="0.25">
      <c r="A68" s="381"/>
      <c r="B68" s="209"/>
      <c r="C68" s="209"/>
      <c r="D68" s="216"/>
      <c r="E68" s="206"/>
      <c r="F68" s="79"/>
      <c r="G68" s="200"/>
      <c r="H68" s="209"/>
      <c r="I68" s="216"/>
      <c r="J68" s="206"/>
      <c r="K68" s="79"/>
      <c r="L68" s="200"/>
      <c r="M68" s="209"/>
      <c r="N68" s="216"/>
      <c r="O68" s="206"/>
      <c r="P68" s="79"/>
      <c r="Q68" s="378"/>
    </row>
    <row r="69" spans="1:17" ht="15" customHeight="1" x14ac:dyDescent="0.25">
      <c r="A69" s="379" t="s">
        <v>351</v>
      </c>
      <c r="B69" s="220"/>
      <c r="C69" s="220"/>
      <c r="D69" s="221"/>
      <c r="E69" s="204"/>
      <c r="F69" s="80"/>
      <c r="G69" s="218"/>
      <c r="H69" s="220"/>
      <c r="I69" s="221"/>
      <c r="J69" s="204"/>
      <c r="K69" s="80"/>
      <c r="L69" s="218"/>
      <c r="M69" s="220"/>
      <c r="N69" s="221"/>
      <c r="O69" s="204"/>
      <c r="P69" s="80"/>
      <c r="Q69" s="387"/>
    </row>
    <row r="70" spans="1:17" ht="8.25" customHeight="1" thickBot="1" x14ac:dyDescent="0.3">
      <c r="A70" s="381"/>
      <c r="B70" s="209"/>
      <c r="C70" s="209"/>
      <c r="D70" s="216"/>
      <c r="E70" s="206"/>
      <c r="F70" s="79"/>
      <c r="G70" s="200"/>
      <c r="H70" s="209"/>
      <c r="I70" s="216"/>
      <c r="J70" s="206"/>
      <c r="K70" s="79"/>
      <c r="L70" s="200"/>
      <c r="M70" s="209"/>
      <c r="N70" s="216"/>
      <c r="O70" s="206"/>
      <c r="P70" s="79"/>
      <c r="Q70" s="378"/>
    </row>
    <row r="71" spans="1:17" ht="35.1" customHeight="1" thickBot="1" x14ac:dyDescent="0.3">
      <c r="A71" s="644" t="s">
        <v>71</v>
      </c>
      <c r="B71" s="645"/>
      <c r="C71" s="646"/>
      <c r="D71" s="223">
        <f>+D65+D67+D69-D5</f>
        <v>0</v>
      </c>
      <c r="E71" s="224"/>
      <c r="F71" s="81">
        <f>+D71*$F$5</f>
        <v>0</v>
      </c>
      <c r="G71" s="218"/>
      <c r="H71" s="222"/>
      <c r="I71" s="223">
        <f>+I65+I67+I69-I5</f>
        <v>0</v>
      </c>
      <c r="J71" s="224"/>
      <c r="K71" s="81">
        <f>+I71*$K$5</f>
        <v>0</v>
      </c>
      <c r="L71" s="218"/>
      <c r="M71" s="222"/>
      <c r="N71" s="223">
        <f>+N65+N67+N69-N5</f>
        <v>0</v>
      </c>
      <c r="O71" s="224"/>
      <c r="P71" s="81">
        <f>+N71*$P$5</f>
        <v>0</v>
      </c>
      <c r="Q71" s="387"/>
    </row>
    <row r="72" spans="1:17" ht="33" customHeight="1" thickBot="1" x14ac:dyDescent="0.3">
      <c r="A72" s="647" t="s">
        <v>72</v>
      </c>
      <c r="B72" s="648"/>
      <c r="C72" s="222"/>
      <c r="D72" s="223">
        <f>+D71+D5</f>
        <v>1</v>
      </c>
      <c r="E72" s="224"/>
      <c r="F72" s="394">
        <f>+D72*$F$5</f>
        <v>0</v>
      </c>
      <c r="G72" s="218"/>
      <c r="H72" s="222"/>
      <c r="I72" s="223">
        <f>+I71+I5</f>
        <v>1</v>
      </c>
      <c r="J72" s="224"/>
      <c r="K72" s="394">
        <f>+I72*$K$5</f>
        <v>0</v>
      </c>
      <c r="L72" s="218"/>
      <c r="M72" s="222"/>
      <c r="N72" s="223">
        <f>+N71+N5</f>
        <v>1</v>
      </c>
      <c r="O72" s="224"/>
      <c r="P72" s="394">
        <f>+N72*$P$5</f>
        <v>0</v>
      </c>
      <c r="Q72" s="387"/>
    </row>
    <row r="73" spans="1:17" x14ac:dyDescent="0.25">
      <c r="A73" s="395"/>
      <c r="B73" s="196"/>
      <c r="C73" s="196"/>
      <c r="D73" s="225"/>
      <c r="E73" s="196"/>
      <c r="F73" s="196"/>
      <c r="G73" s="196"/>
      <c r="H73" s="196"/>
      <c r="I73" s="225"/>
      <c r="J73" s="196"/>
      <c r="K73" s="196"/>
      <c r="L73" s="196"/>
      <c r="M73" s="196"/>
      <c r="N73" s="225"/>
      <c r="O73" s="196"/>
      <c r="P73" s="196"/>
      <c r="Q73" s="371"/>
    </row>
    <row r="74" spans="1:17" ht="23.1" customHeight="1" x14ac:dyDescent="0.25">
      <c r="A74" s="200"/>
      <c r="B74" s="200"/>
      <c r="C74" s="200"/>
      <c r="D74" s="396"/>
      <c r="E74" s="226" t="s">
        <v>73</v>
      </c>
      <c r="F74" s="397">
        <f>D6</f>
        <v>0</v>
      </c>
      <c r="G74" s="200"/>
      <c r="H74" s="200"/>
      <c r="I74" s="200"/>
      <c r="J74" s="200"/>
      <c r="K74" s="200"/>
      <c r="L74" s="200"/>
      <c r="M74" s="649" t="s">
        <v>3</v>
      </c>
      <c r="N74" s="632">
        <f>Basisdaten!E5</f>
        <v>0</v>
      </c>
      <c r="O74" s="632"/>
      <c r="P74" s="632"/>
      <c r="Q74" s="378"/>
    </row>
    <row r="75" spans="1:17" ht="23.1" customHeight="1" x14ac:dyDescent="0.25">
      <c r="A75" s="200"/>
      <c r="B75" s="200"/>
      <c r="C75" s="200"/>
      <c r="D75" s="396"/>
      <c r="E75" s="226" t="s">
        <v>352</v>
      </c>
      <c r="F75" s="397">
        <f>I6</f>
        <v>0</v>
      </c>
      <c r="G75" s="200"/>
      <c r="H75" s="200"/>
      <c r="I75" s="200"/>
      <c r="J75" s="200"/>
      <c r="K75" s="200"/>
      <c r="L75" s="200"/>
      <c r="M75" s="649"/>
      <c r="N75" s="632"/>
      <c r="O75" s="632"/>
      <c r="P75" s="632"/>
      <c r="Q75" s="378"/>
    </row>
    <row r="76" spans="1:17" ht="23.55" customHeight="1" x14ac:dyDescent="0.25">
      <c r="A76" s="200"/>
      <c r="B76" s="200"/>
      <c r="C76" s="200"/>
      <c r="D76" s="396"/>
      <c r="E76" s="226" t="s">
        <v>353</v>
      </c>
      <c r="F76" s="397">
        <f>N6</f>
        <v>0</v>
      </c>
      <c r="G76" s="200"/>
      <c r="H76" s="200"/>
      <c r="I76" s="200"/>
      <c r="J76" s="200"/>
      <c r="K76" s="200"/>
      <c r="L76" s="200"/>
      <c r="M76" s="649"/>
      <c r="N76" s="650"/>
      <c r="O76" s="650"/>
      <c r="P76" s="650"/>
      <c r="Q76" s="378"/>
    </row>
    <row r="77" spans="1:17" ht="32.549999999999997" customHeight="1" x14ac:dyDescent="0.25">
      <c r="A77" s="200"/>
      <c r="B77" s="200"/>
      <c r="C77" s="200"/>
      <c r="D77" s="396"/>
      <c r="E77" s="226" t="s">
        <v>159</v>
      </c>
      <c r="F77" s="398">
        <f>ROUND(+F74*F72+F75*K72+F76*P72,2)</f>
        <v>0</v>
      </c>
      <c r="G77" s="200"/>
      <c r="H77" s="227"/>
      <c r="I77" s="399"/>
      <c r="J77" s="399"/>
      <c r="L77" s="200"/>
      <c r="M77" s="227" t="s">
        <v>1</v>
      </c>
      <c r="N77" s="638">
        <f>Basisdaten!E3</f>
        <v>0</v>
      </c>
      <c r="O77" s="638"/>
      <c r="Q77" s="378"/>
    </row>
    <row r="78" spans="1:17" ht="27.75" customHeight="1" x14ac:dyDescent="0.25">
      <c r="A78" s="200"/>
      <c r="B78" s="200"/>
      <c r="C78" s="200"/>
      <c r="D78" s="396"/>
      <c r="E78" s="226" t="s">
        <v>354</v>
      </c>
      <c r="F78" s="400">
        <f>((D5+D39)/D72)*F74+((I5+I39)/I72)*F75+((N5+N39)/N72)*F76</f>
        <v>0</v>
      </c>
      <c r="G78" s="200"/>
      <c r="H78" s="200"/>
      <c r="I78" s="200"/>
      <c r="J78" s="200"/>
      <c r="K78" s="200"/>
      <c r="L78" s="200"/>
      <c r="M78" s="200"/>
      <c r="N78" s="200"/>
      <c r="O78" s="200"/>
      <c r="P78" s="200"/>
      <c r="Q78" s="378"/>
    </row>
    <row r="79" spans="1:17" ht="9" customHeight="1" thickBot="1" x14ac:dyDescent="0.3">
      <c r="A79" s="401"/>
      <c r="B79" s="401"/>
      <c r="C79" s="401"/>
      <c r="D79" s="401"/>
      <c r="E79" s="401"/>
      <c r="F79" s="401"/>
      <c r="G79" s="401"/>
      <c r="H79" s="401"/>
      <c r="I79" s="401"/>
      <c r="J79" s="401"/>
      <c r="K79" s="401"/>
      <c r="L79" s="401"/>
      <c r="M79" s="401"/>
      <c r="N79" s="401"/>
      <c r="O79" s="401"/>
      <c r="P79" s="401"/>
      <c r="Q79" s="402"/>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4BBC5-58D4-40AE-96F4-88F22B1D96FE}">
  <sheetPr>
    <tabColor theme="7" tint="0.59999389629810485"/>
  </sheetPr>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33203125" style="9" customWidth="1"/>
    <col min="6" max="6" width="13.21875" style="9" customWidth="1"/>
    <col min="7" max="7" width="1.21875" style="9" customWidth="1"/>
    <col min="8" max="8" width="10.44140625" style="9" customWidth="1"/>
    <col min="9" max="9" width="14.21875" style="9" customWidth="1"/>
    <col min="10" max="10" width="1.109375" style="9" customWidth="1"/>
    <col min="11" max="11" width="13.21875" style="9" customWidth="1"/>
    <col min="12" max="12" width="1.21875" style="9" customWidth="1"/>
    <col min="13" max="13" width="10.44140625" style="9" customWidth="1"/>
    <col min="14" max="14" width="13.44140625" style="9" customWidth="1"/>
    <col min="15" max="15" width="1.109375" style="9" customWidth="1"/>
    <col min="16" max="16" width="13.21875" style="9" customWidth="1"/>
    <col min="17" max="17" width="1.5546875"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639" t="s">
        <v>831</v>
      </c>
      <c r="B1" s="640"/>
      <c r="C1" s="640"/>
      <c r="D1" s="640"/>
      <c r="E1" s="640"/>
      <c r="F1" s="640"/>
      <c r="G1" s="640"/>
      <c r="H1" s="640"/>
      <c r="I1" s="640"/>
      <c r="J1" s="640"/>
      <c r="K1" s="640"/>
      <c r="L1" s="640"/>
      <c r="M1" s="640"/>
      <c r="N1" s="640"/>
      <c r="O1" s="640"/>
      <c r="P1" s="640"/>
      <c r="Q1" s="641"/>
    </row>
    <row r="2" spans="1:20" ht="13.8" x14ac:dyDescent="0.25">
      <c r="A2" s="370"/>
      <c r="B2" s="196"/>
      <c r="C2" s="196"/>
      <c r="D2" s="197"/>
      <c r="E2" s="198"/>
      <c r="F2" s="198"/>
      <c r="G2" s="196"/>
      <c r="H2" s="196"/>
      <c r="I2" s="197"/>
      <c r="J2" s="198"/>
      <c r="K2" s="198"/>
      <c r="L2" s="196"/>
      <c r="M2" s="196"/>
      <c r="N2" s="197"/>
      <c r="O2" s="198"/>
      <c r="P2" s="198"/>
      <c r="Q2" s="371"/>
    </row>
    <row r="3" spans="1:20" ht="15.6" x14ac:dyDescent="0.25">
      <c r="A3" s="372"/>
      <c r="B3" s="373"/>
      <c r="C3" s="199" t="s">
        <v>338</v>
      </c>
      <c r="D3" s="199"/>
      <c r="E3" s="199"/>
      <c r="F3" s="199"/>
      <c r="G3" s="200"/>
      <c r="H3" s="642" t="s">
        <v>339</v>
      </c>
      <c r="I3" s="642"/>
      <c r="J3" s="642"/>
      <c r="K3" s="642"/>
      <c r="L3" s="200"/>
      <c r="M3" s="642" t="s">
        <v>340</v>
      </c>
      <c r="N3" s="642"/>
      <c r="O3" s="642"/>
      <c r="P3" s="642"/>
      <c r="Q3" s="643"/>
      <c r="R3" s="374"/>
      <c r="S3" s="374"/>
      <c r="T3" s="374"/>
    </row>
    <row r="4" spans="1:20" ht="16.350000000000001" customHeight="1" x14ac:dyDescent="0.25">
      <c r="A4" s="375"/>
      <c r="B4" s="200"/>
      <c r="C4" s="200"/>
      <c r="D4" s="376" t="s">
        <v>341</v>
      </c>
      <c r="E4" s="377"/>
      <c r="F4" s="377" t="s">
        <v>342</v>
      </c>
      <c r="G4" s="200"/>
      <c r="H4" s="200"/>
      <c r="I4" s="376" t="s">
        <v>341</v>
      </c>
      <c r="J4" s="377"/>
      <c r="K4" s="377" t="s">
        <v>342</v>
      </c>
      <c r="L4" s="200"/>
      <c r="M4" s="200"/>
      <c r="N4" s="376" t="s">
        <v>341</v>
      </c>
      <c r="O4" s="377"/>
      <c r="P4" s="377" t="s">
        <v>342</v>
      </c>
      <c r="Q4" s="378"/>
      <c r="R4" s="374"/>
    </row>
    <row r="5" spans="1:20" ht="17.55" customHeight="1" x14ac:dyDescent="0.25">
      <c r="A5" s="379" t="s">
        <v>112</v>
      </c>
      <c r="B5" s="202"/>
      <c r="C5" s="202"/>
      <c r="D5" s="203">
        <v>1</v>
      </c>
      <c r="E5" s="204"/>
      <c r="F5" s="308"/>
      <c r="G5" s="200"/>
      <c r="H5" s="202"/>
      <c r="I5" s="203">
        <v>1</v>
      </c>
      <c r="J5" s="204"/>
      <c r="K5" s="308"/>
      <c r="L5" s="200"/>
      <c r="M5" s="202"/>
      <c r="N5" s="203">
        <v>1</v>
      </c>
      <c r="O5" s="204"/>
      <c r="P5" s="308"/>
      <c r="Q5" s="378"/>
    </row>
    <row r="6" spans="1:20" ht="31.5" customHeight="1" x14ac:dyDescent="0.25">
      <c r="A6" s="379"/>
      <c r="B6" s="202"/>
      <c r="C6" s="550" t="s">
        <v>343</v>
      </c>
      <c r="D6" s="211"/>
      <c r="E6" s="206"/>
      <c r="F6" s="79"/>
      <c r="G6" s="200"/>
      <c r="H6" s="550" t="s">
        <v>344</v>
      </c>
      <c r="I6" s="211"/>
      <c r="J6" s="206"/>
      <c r="K6" s="79"/>
      <c r="L6" s="200"/>
      <c r="M6" s="550" t="s">
        <v>345</v>
      </c>
      <c r="N6" s="211"/>
      <c r="O6" s="206"/>
      <c r="P6" s="79"/>
      <c r="Q6" s="378"/>
    </row>
    <row r="7" spans="1:20" ht="9.6" customHeight="1" x14ac:dyDescent="0.25">
      <c r="A7" s="379"/>
      <c r="B7" s="202"/>
      <c r="C7" s="202"/>
      <c r="D7" s="202"/>
      <c r="E7" s="202"/>
      <c r="F7" s="202"/>
      <c r="G7" s="202"/>
      <c r="H7" s="202"/>
      <c r="I7" s="202"/>
      <c r="J7" s="202"/>
      <c r="K7" s="202"/>
      <c r="L7" s="202"/>
      <c r="M7" s="202"/>
      <c r="N7" s="202"/>
      <c r="O7" s="202"/>
      <c r="P7" s="202"/>
      <c r="Q7" s="378"/>
      <c r="R7" s="202"/>
      <c r="S7" s="202"/>
    </row>
    <row r="8" spans="1:20" ht="11.25" customHeight="1" x14ac:dyDescent="0.25">
      <c r="A8" s="379"/>
      <c r="B8" s="202"/>
      <c r="C8" s="202"/>
      <c r="D8" s="202"/>
      <c r="E8" s="202"/>
      <c r="F8" s="202"/>
      <c r="G8" s="202"/>
      <c r="H8" s="202"/>
      <c r="I8" s="202"/>
      <c r="J8" s="202"/>
      <c r="K8" s="202"/>
      <c r="L8" s="202"/>
      <c r="M8" s="202"/>
      <c r="N8" s="202"/>
      <c r="O8" s="202"/>
      <c r="P8" s="79"/>
      <c r="Q8" s="378"/>
    </row>
    <row r="9" spans="1:20" ht="13.8" x14ac:dyDescent="0.25">
      <c r="A9" s="379" t="s">
        <v>113</v>
      </c>
      <c r="B9" s="202"/>
      <c r="C9" s="207"/>
      <c r="D9" s="205"/>
      <c r="E9" s="208"/>
      <c r="F9" s="80"/>
      <c r="G9" s="200"/>
      <c r="H9" s="207"/>
      <c r="I9" s="205"/>
      <c r="J9" s="208"/>
      <c r="K9" s="80"/>
      <c r="L9" s="200"/>
      <c r="M9" s="207"/>
      <c r="N9" s="205"/>
      <c r="O9" s="208"/>
      <c r="P9" s="80"/>
      <c r="Q9" s="378"/>
    </row>
    <row r="10" spans="1:20" ht="5.25" customHeight="1" x14ac:dyDescent="0.25">
      <c r="A10" s="381"/>
      <c r="B10" s="209"/>
      <c r="C10" s="209"/>
      <c r="D10" s="210"/>
      <c r="E10" s="206"/>
      <c r="F10" s="79"/>
      <c r="G10" s="200"/>
      <c r="H10" s="209"/>
      <c r="I10" s="210"/>
      <c r="J10" s="206"/>
      <c r="K10" s="79"/>
      <c r="L10" s="200"/>
      <c r="M10" s="209"/>
      <c r="N10" s="210"/>
      <c r="O10" s="206"/>
      <c r="P10" s="79"/>
      <c r="Q10" s="378"/>
    </row>
    <row r="11" spans="1:20" ht="13.8" x14ac:dyDescent="0.25">
      <c r="A11" s="381" t="s">
        <v>114</v>
      </c>
      <c r="B11" s="201"/>
      <c r="C11" s="201"/>
      <c r="D11" s="210"/>
      <c r="E11" s="206"/>
      <c r="F11" s="79"/>
      <c r="G11" s="200"/>
      <c r="H11" s="201"/>
      <c r="I11" s="210"/>
      <c r="J11" s="206"/>
      <c r="K11" s="79"/>
      <c r="L11" s="200"/>
      <c r="M11" s="201"/>
      <c r="N11" s="210"/>
      <c r="O11" s="206"/>
      <c r="P11" s="79"/>
      <c r="Q11" s="378"/>
    </row>
    <row r="12" spans="1:20" ht="15" customHeight="1" x14ac:dyDescent="0.25">
      <c r="A12" s="382" t="s">
        <v>115</v>
      </c>
      <c r="B12" s="201"/>
      <c r="C12" s="201"/>
      <c r="D12" s="211"/>
      <c r="E12" s="206"/>
      <c r="F12" s="79"/>
      <c r="G12" s="200"/>
      <c r="H12" s="201"/>
      <c r="I12" s="211"/>
      <c r="J12" s="206"/>
      <c r="K12" s="79"/>
      <c r="L12" s="200"/>
      <c r="M12" s="201"/>
      <c r="N12" s="211"/>
      <c r="O12" s="206"/>
      <c r="P12" s="79"/>
      <c r="Q12" s="378"/>
    </row>
    <row r="13" spans="1:20" ht="15" customHeight="1" x14ac:dyDescent="0.25">
      <c r="A13" s="382" t="s">
        <v>116</v>
      </c>
      <c r="B13" s="201"/>
      <c r="C13" s="201"/>
      <c r="D13" s="211"/>
      <c r="E13" s="206"/>
      <c r="F13" s="79"/>
      <c r="G13" s="200"/>
      <c r="H13" s="201"/>
      <c r="I13" s="211"/>
      <c r="J13" s="206"/>
      <c r="K13" s="79"/>
      <c r="L13" s="200"/>
      <c r="M13" s="201"/>
      <c r="N13" s="211"/>
      <c r="O13" s="206"/>
      <c r="P13" s="79"/>
      <c r="Q13" s="378"/>
    </row>
    <row r="14" spans="1:20" ht="15" customHeight="1" x14ac:dyDescent="0.25">
      <c r="A14" s="382" t="s">
        <v>117</v>
      </c>
      <c r="B14" s="201"/>
      <c r="C14" s="201"/>
      <c r="D14" s="211"/>
      <c r="E14" s="206"/>
      <c r="F14" s="79"/>
      <c r="G14" s="200"/>
      <c r="H14" s="201"/>
      <c r="I14" s="211"/>
      <c r="J14" s="206"/>
      <c r="K14" s="79"/>
      <c r="L14" s="200"/>
      <c r="M14" s="201"/>
      <c r="N14" s="211"/>
      <c r="O14" s="206"/>
      <c r="P14" s="79"/>
      <c r="Q14" s="378"/>
    </row>
    <row r="15" spans="1:20" ht="15" customHeight="1" x14ac:dyDescent="0.25">
      <c r="A15" s="382" t="s">
        <v>118</v>
      </c>
      <c r="B15" s="201"/>
      <c r="C15" s="201"/>
      <c r="D15" s="211"/>
      <c r="E15" s="206"/>
      <c r="F15" s="79"/>
      <c r="G15" s="200"/>
      <c r="H15" s="201"/>
      <c r="I15" s="211"/>
      <c r="J15" s="206"/>
      <c r="K15" s="79"/>
      <c r="L15" s="200"/>
      <c r="M15" s="201"/>
      <c r="N15" s="211"/>
      <c r="O15" s="206"/>
      <c r="P15" s="79"/>
      <c r="Q15" s="378"/>
    </row>
    <row r="16" spans="1:20" ht="15" customHeight="1" x14ac:dyDescent="0.25">
      <c r="A16" s="382" t="s">
        <v>119</v>
      </c>
      <c r="B16" s="201"/>
      <c r="C16" s="201"/>
      <c r="D16" s="211"/>
      <c r="E16" s="206"/>
      <c r="F16" s="79"/>
      <c r="G16" s="200"/>
      <c r="H16" s="201"/>
      <c r="I16" s="211"/>
      <c r="J16" s="206"/>
      <c r="K16" s="79"/>
      <c r="L16" s="200"/>
      <c r="M16" s="201"/>
      <c r="N16" s="211"/>
      <c r="O16" s="206"/>
      <c r="P16" s="79"/>
      <c r="Q16" s="378"/>
    </row>
    <row r="17" spans="1:17" ht="15" customHeight="1" x14ac:dyDescent="0.25">
      <c r="A17" s="382" t="s">
        <v>120</v>
      </c>
      <c r="B17" s="201"/>
      <c r="C17" s="201"/>
      <c r="D17" s="211"/>
      <c r="E17" s="206"/>
      <c r="F17" s="79"/>
      <c r="G17" s="200"/>
      <c r="H17" s="201"/>
      <c r="I17" s="211"/>
      <c r="J17" s="206"/>
      <c r="K17" s="79"/>
      <c r="L17" s="200"/>
      <c r="M17" s="201"/>
      <c r="N17" s="211"/>
      <c r="O17" s="206"/>
      <c r="P17" s="79"/>
      <c r="Q17" s="378"/>
    </row>
    <row r="18" spans="1:17" ht="15" customHeight="1" x14ac:dyDescent="0.25">
      <c r="A18" s="382" t="s">
        <v>121</v>
      </c>
      <c r="B18" s="201"/>
      <c r="C18" s="201"/>
      <c r="D18" s="211"/>
      <c r="E18" s="206"/>
      <c r="F18" s="79"/>
      <c r="G18" s="200"/>
      <c r="H18" s="201"/>
      <c r="I18" s="211"/>
      <c r="J18" s="206"/>
      <c r="K18" s="79"/>
      <c r="L18" s="200"/>
      <c r="M18" s="201"/>
      <c r="N18" s="211"/>
      <c r="O18" s="206"/>
      <c r="P18" s="79"/>
      <c r="Q18" s="378"/>
    </row>
    <row r="19" spans="1:17" ht="13.8" x14ac:dyDescent="0.25">
      <c r="A19" s="383"/>
      <c r="B19" s="212" t="s">
        <v>122</v>
      </c>
      <c r="C19" s="213"/>
      <c r="D19" s="214">
        <f>SUM(D12:D18)</f>
        <v>0</v>
      </c>
      <c r="E19" s="204"/>
      <c r="F19" s="80"/>
      <c r="G19" s="200"/>
      <c r="H19" s="213"/>
      <c r="I19" s="214">
        <f>SUM(I12:I18)</f>
        <v>0</v>
      </c>
      <c r="J19" s="204"/>
      <c r="K19" s="80"/>
      <c r="L19" s="200"/>
      <c r="M19" s="213"/>
      <c r="N19" s="214">
        <f>SUM(N12:N18)</f>
        <v>0</v>
      </c>
      <c r="O19" s="204"/>
      <c r="P19" s="80"/>
      <c r="Q19" s="378"/>
    </row>
    <row r="20" spans="1:17" ht="6.6" customHeight="1" x14ac:dyDescent="0.25">
      <c r="A20" s="383"/>
      <c r="B20" s="215"/>
      <c r="C20" s="213"/>
      <c r="D20" s="216"/>
      <c r="E20" s="217"/>
      <c r="F20" s="79"/>
      <c r="G20" s="200"/>
      <c r="H20" s="213"/>
      <c r="I20" s="216"/>
      <c r="J20" s="217"/>
      <c r="K20" s="79"/>
      <c r="L20" s="200"/>
      <c r="M20" s="213"/>
      <c r="N20" s="216"/>
      <c r="O20" s="217"/>
      <c r="P20" s="79"/>
      <c r="Q20" s="378"/>
    </row>
    <row r="21" spans="1:17" ht="13.8" x14ac:dyDescent="0.25">
      <c r="A21" s="381" t="s">
        <v>123</v>
      </c>
      <c r="B21" s="209"/>
      <c r="C21" s="213"/>
      <c r="D21" s="216"/>
      <c r="E21" s="217"/>
      <c r="F21" s="79"/>
      <c r="G21" s="201"/>
      <c r="H21" s="213"/>
      <c r="I21" s="216"/>
      <c r="J21" s="217"/>
      <c r="K21" s="79"/>
      <c r="L21" s="201"/>
      <c r="M21" s="213"/>
      <c r="N21" s="216"/>
      <c r="O21" s="217"/>
      <c r="P21" s="79"/>
      <c r="Q21" s="384"/>
    </row>
    <row r="22" spans="1:17" ht="15" customHeight="1" x14ac:dyDescent="0.25">
      <c r="A22" s="382" t="s">
        <v>124</v>
      </c>
      <c r="B22" s="201"/>
      <c r="C22" s="213"/>
      <c r="D22" s="412"/>
      <c r="E22" s="206"/>
      <c r="F22" s="79"/>
      <c r="G22" s="201"/>
      <c r="H22" s="213"/>
      <c r="I22" s="211"/>
      <c r="J22" s="206"/>
      <c r="K22" s="79"/>
      <c r="L22" s="201"/>
      <c r="M22" s="213"/>
      <c r="N22" s="211"/>
      <c r="O22" s="206"/>
      <c r="P22" s="79"/>
      <c r="Q22" s="384"/>
    </row>
    <row r="23" spans="1:17" ht="15" customHeight="1" x14ac:dyDescent="0.25">
      <c r="A23" s="382" t="s">
        <v>125</v>
      </c>
      <c r="B23" s="201"/>
      <c r="C23" s="213"/>
      <c r="D23" s="409">
        <f>D$19*D22</f>
        <v>0</v>
      </c>
      <c r="E23" s="206"/>
      <c r="F23" s="79"/>
      <c r="G23" s="201"/>
      <c r="H23" s="213"/>
      <c r="I23" s="385">
        <f>I$19*I22</f>
        <v>0</v>
      </c>
      <c r="J23" s="206"/>
      <c r="K23" s="79"/>
      <c r="L23" s="201"/>
      <c r="M23" s="213"/>
      <c r="N23" s="385">
        <f>N$19*N22</f>
        <v>0</v>
      </c>
      <c r="O23" s="206"/>
      <c r="P23" s="79"/>
      <c r="Q23" s="384"/>
    </row>
    <row r="24" spans="1:17" ht="15" customHeight="1" x14ac:dyDescent="0.25">
      <c r="A24" s="382" t="s">
        <v>126</v>
      </c>
      <c r="B24" s="201"/>
      <c r="C24" s="213"/>
      <c r="D24" s="412"/>
      <c r="E24" s="206"/>
      <c r="F24" s="79"/>
      <c r="G24" s="201"/>
      <c r="H24" s="213"/>
      <c r="I24" s="211"/>
      <c r="J24" s="206"/>
      <c r="K24" s="79"/>
      <c r="L24" s="201"/>
      <c r="M24" s="213"/>
      <c r="N24" s="211"/>
      <c r="O24" s="206"/>
      <c r="P24" s="79"/>
      <c r="Q24" s="384"/>
    </row>
    <row r="25" spans="1:17" ht="15" customHeight="1" x14ac:dyDescent="0.25">
      <c r="A25" s="382" t="s">
        <v>127</v>
      </c>
      <c r="B25" s="201"/>
      <c r="C25" s="213"/>
      <c r="D25" s="409">
        <f>D$19*D24</f>
        <v>0</v>
      </c>
      <c r="E25" s="206"/>
      <c r="F25" s="79"/>
      <c r="G25" s="201"/>
      <c r="H25" s="213"/>
      <c r="I25" s="385">
        <f>I$19*I24</f>
        <v>0</v>
      </c>
      <c r="J25" s="206"/>
      <c r="K25" s="79"/>
      <c r="L25" s="201"/>
      <c r="M25" s="213"/>
      <c r="N25" s="385">
        <f>N$19*N24</f>
        <v>0</v>
      </c>
      <c r="O25" s="206"/>
      <c r="P25" s="79"/>
      <c r="Q25" s="384"/>
    </row>
    <row r="26" spans="1:17" ht="15" customHeight="1" x14ac:dyDescent="0.25">
      <c r="A26" s="382" t="s">
        <v>128</v>
      </c>
      <c r="B26" s="201"/>
      <c r="C26" s="213"/>
      <c r="D26" s="412"/>
      <c r="E26" s="206"/>
      <c r="F26" s="79"/>
      <c r="G26" s="201"/>
      <c r="H26" s="213"/>
      <c r="I26" s="211"/>
      <c r="J26" s="206"/>
      <c r="K26" s="79"/>
      <c r="L26" s="201"/>
      <c r="M26" s="213"/>
      <c r="N26" s="211"/>
      <c r="O26" s="206"/>
      <c r="P26" s="79"/>
      <c r="Q26" s="384"/>
    </row>
    <row r="27" spans="1:17" ht="15" customHeight="1" x14ac:dyDescent="0.25">
      <c r="A27" s="382" t="s">
        <v>129</v>
      </c>
      <c r="B27" s="201"/>
      <c r="C27" s="213"/>
      <c r="D27" s="409">
        <f>D$19*D26</f>
        <v>0</v>
      </c>
      <c r="E27" s="206"/>
      <c r="F27" s="79"/>
      <c r="G27" s="201"/>
      <c r="H27" s="213"/>
      <c r="I27" s="385">
        <f>I$19*I26</f>
        <v>0</v>
      </c>
      <c r="J27" s="206"/>
      <c r="K27" s="79"/>
      <c r="L27" s="201"/>
      <c r="M27" s="213"/>
      <c r="N27" s="385">
        <f>N$19*N26</f>
        <v>0</v>
      </c>
      <c r="O27" s="206"/>
      <c r="P27" s="79"/>
      <c r="Q27" s="384"/>
    </row>
    <row r="28" spans="1:17" ht="15" customHeight="1" x14ac:dyDescent="0.25">
      <c r="A28" s="382" t="s">
        <v>130</v>
      </c>
      <c r="B28" s="201"/>
      <c r="C28" s="213"/>
      <c r="D28" s="412"/>
      <c r="E28" s="206"/>
      <c r="F28" s="79"/>
      <c r="G28" s="201"/>
      <c r="H28" s="213"/>
      <c r="I28" s="211"/>
      <c r="J28" s="206"/>
      <c r="K28" s="79"/>
      <c r="L28" s="201"/>
      <c r="M28" s="213"/>
      <c r="N28" s="211"/>
      <c r="O28" s="206"/>
      <c r="P28" s="79"/>
      <c r="Q28" s="384"/>
    </row>
    <row r="29" spans="1:17" ht="15" customHeight="1" x14ac:dyDescent="0.25">
      <c r="A29" s="382" t="s">
        <v>131</v>
      </c>
      <c r="B29" s="201"/>
      <c r="C29" s="213"/>
      <c r="D29" s="409">
        <f>D$19*D28</f>
        <v>0</v>
      </c>
      <c r="E29" s="206"/>
      <c r="F29" s="79"/>
      <c r="G29" s="200"/>
      <c r="H29" s="213"/>
      <c r="I29" s="385">
        <f>I$19*I28</f>
        <v>0</v>
      </c>
      <c r="J29" s="206"/>
      <c r="K29" s="79"/>
      <c r="L29" s="200"/>
      <c r="M29" s="213"/>
      <c r="N29" s="385">
        <f>N$19*N28</f>
        <v>0</v>
      </c>
      <c r="O29" s="206"/>
      <c r="P29" s="79"/>
      <c r="Q29" s="378"/>
    </row>
    <row r="30" spans="1:17" ht="15" customHeight="1" x14ac:dyDescent="0.25">
      <c r="A30" s="382" t="s">
        <v>132</v>
      </c>
      <c r="B30" s="201"/>
      <c r="C30" s="201"/>
      <c r="D30" s="211"/>
      <c r="E30" s="206"/>
      <c r="F30" s="79"/>
      <c r="G30" s="200"/>
      <c r="H30" s="213"/>
      <c r="I30" s="211"/>
      <c r="J30" s="206"/>
      <c r="K30" s="79"/>
      <c r="L30" s="200"/>
      <c r="M30" s="213"/>
      <c r="N30" s="211"/>
      <c r="O30" s="206"/>
      <c r="P30" s="79"/>
      <c r="Q30" s="378"/>
    </row>
    <row r="31" spans="1:17" ht="13.8" x14ac:dyDescent="0.25">
      <c r="A31" s="382" t="s">
        <v>133</v>
      </c>
      <c r="B31" s="201"/>
      <c r="C31" s="201"/>
      <c r="D31" s="385">
        <f>D$19*D30</f>
        <v>0</v>
      </c>
      <c r="E31" s="206"/>
      <c r="F31" s="79"/>
      <c r="G31" s="200"/>
      <c r="H31" s="201"/>
      <c r="I31" s="385">
        <f>I$19*I30</f>
        <v>0</v>
      </c>
      <c r="J31" s="206"/>
      <c r="K31" s="79"/>
      <c r="L31" s="200"/>
      <c r="M31" s="201"/>
      <c r="N31" s="385">
        <f>N$19*N30</f>
        <v>0</v>
      </c>
      <c r="O31" s="206"/>
      <c r="P31" s="79"/>
      <c r="Q31" s="378"/>
    </row>
    <row r="32" spans="1:17" ht="13.8" x14ac:dyDescent="0.25">
      <c r="A32" s="386" t="s">
        <v>134</v>
      </c>
      <c r="B32" s="212"/>
      <c r="C32" s="213"/>
      <c r="D32" s="214">
        <f>SUM(D22:D31)</f>
        <v>0</v>
      </c>
      <c r="E32" s="204"/>
      <c r="F32" s="80"/>
      <c r="G32" s="218"/>
      <c r="H32" s="213"/>
      <c r="I32" s="214">
        <f>SUM(I22:I31)</f>
        <v>0</v>
      </c>
      <c r="J32" s="204"/>
      <c r="K32" s="80"/>
      <c r="L32" s="218"/>
      <c r="M32" s="213"/>
      <c r="N32" s="214">
        <f>SUM(N22:N31)</f>
        <v>0</v>
      </c>
      <c r="O32" s="204"/>
      <c r="P32" s="80"/>
      <c r="Q32" s="387"/>
    </row>
    <row r="33" spans="1:17" ht="8.1" customHeight="1" x14ac:dyDescent="0.25">
      <c r="A33" s="382"/>
      <c r="B33" s="201"/>
      <c r="C33" s="201"/>
      <c r="D33" s="216"/>
      <c r="E33" s="217"/>
      <c r="F33" s="79"/>
      <c r="G33" s="200"/>
      <c r="H33" s="201"/>
      <c r="I33" s="216"/>
      <c r="J33" s="217"/>
      <c r="K33" s="79"/>
      <c r="L33" s="200"/>
      <c r="M33" s="201"/>
      <c r="N33" s="216"/>
      <c r="O33" s="217"/>
      <c r="P33" s="79"/>
      <c r="Q33" s="378"/>
    </row>
    <row r="34" spans="1:17" ht="13.8" x14ac:dyDescent="0.25">
      <c r="A34" s="386" t="s">
        <v>135</v>
      </c>
      <c r="B34" s="212"/>
      <c r="C34" s="201"/>
      <c r="D34" s="214">
        <f>D32+D19</f>
        <v>0</v>
      </c>
      <c r="E34" s="217"/>
      <c r="F34" s="79"/>
      <c r="G34" s="200"/>
      <c r="H34" s="201"/>
      <c r="I34" s="214">
        <f>I32+I19</f>
        <v>0</v>
      </c>
      <c r="J34" s="217"/>
      <c r="K34" s="79"/>
      <c r="L34" s="200"/>
      <c r="M34" s="201"/>
      <c r="N34" s="214">
        <f>N32+N19</f>
        <v>0</v>
      </c>
      <c r="O34" s="217"/>
      <c r="P34" s="79"/>
      <c r="Q34" s="378"/>
    </row>
    <row r="35" spans="1:17" ht="7.35" customHeight="1" x14ac:dyDescent="0.25">
      <c r="A35" s="382"/>
      <c r="B35" s="201"/>
      <c r="C35" s="201"/>
      <c r="D35" s="216"/>
      <c r="E35" s="217"/>
      <c r="F35" s="79"/>
      <c r="G35" s="200"/>
      <c r="H35" s="201"/>
      <c r="I35" s="216"/>
      <c r="J35" s="217"/>
      <c r="K35" s="79"/>
      <c r="L35" s="200"/>
      <c r="M35" s="201"/>
      <c r="N35" s="216"/>
      <c r="O35" s="217"/>
      <c r="P35" s="79"/>
      <c r="Q35" s="378"/>
    </row>
    <row r="36" spans="1:17" ht="13.8" x14ac:dyDescent="0.25">
      <c r="A36" s="381" t="s">
        <v>136</v>
      </c>
      <c r="B36" s="209"/>
      <c r="C36" s="209"/>
      <c r="D36" s="216"/>
      <c r="E36" s="206"/>
      <c r="F36" s="79"/>
      <c r="G36" s="200"/>
      <c r="H36" s="209"/>
      <c r="I36" s="216"/>
      <c r="J36" s="206"/>
      <c r="K36" s="79"/>
      <c r="L36" s="200"/>
      <c r="M36" s="209"/>
      <c r="N36" s="216"/>
      <c r="O36" s="206"/>
      <c r="P36" s="79"/>
      <c r="Q36" s="378"/>
    </row>
    <row r="37" spans="1:17" ht="15" customHeight="1" x14ac:dyDescent="0.25">
      <c r="A37" s="388" t="s">
        <v>137</v>
      </c>
      <c r="B37" s="219"/>
      <c r="C37" s="209"/>
      <c r="D37" s="211"/>
      <c r="E37" s="206"/>
      <c r="F37" s="79"/>
      <c r="G37" s="200"/>
      <c r="H37" s="209"/>
      <c r="I37" s="211"/>
      <c r="J37" s="206"/>
      <c r="K37" s="79"/>
      <c r="L37" s="200"/>
      <c r="M37" s="209"/>
      <c r="N37" s="211"/>
      <c r="O37" s="206"/>
      <c r="P37" s="79"/>
      <c r="Q37" s="378"/>
    </row>
    <row r="38" spans="1:17" ht="15" customHeight="1" x14ac:dyDescent="0.25">
      <c r="A38" s="388" t="s">
        <v>138</v>
      </c>
      <c r="B38" s="219"/>
      <c r="C38" s="209"/>
      <c r="D38" s="211"/>
      <c r="E38" s="206"/>
      <c r="F38" s="79"/>
      <c r="G38" s="200"/>
      <c r="H38" s="209"/>
      <c r="I38" s="211"/>
      <c r="J38" s="206"/>
      <c r="K38" s="79"/>
      <c r="L38" s="200"/>
      <c r="M38" s="209"/>
      <c r="N38" s="211"/>
      <c r="O38" s="206"/>
      <c r="P38" s="79"/>
      <c r="Q38" s="378"/>
    </row>
    <row r="39" spans="1:17" ht="13.8" x14ac:dyDescent="0.25">
      <c r="A39" s="386" t="s">
        <v>69</v>
      </c>
      <c r="B39" s="212"/>
      <c r="C39" s="213"/>
      <c r="D39" s="214">
        <f>SUM(D37:D38)+D34</f>
        <v>0</v>
      </c>
      <c r="E39" s="204"/>
      <c r="F39" s="80"/>
      <c r="G39" s="218"/>
      <c r="H39" s="213"/>
      <c r="I39" s="214">
        <f>SUM(I37:I38)+I34</f>
        <v>0</v>
      </c>
      <c r="J39" s="204"/>
      <c r="K39" s="80"/>
      <c r="L39" s="218"/>
      <c r="M39" s="213"/>
      <c r="N39" s="214">
        <f>SUM(N37:N38)+N34</f>
        <v>0</v>
      </c>
      <c r="O39" s="204"/>
      <c r="P39" s="79"/>
      <c r="Q39" s="387"/>
    </row>
    <row r="40" spans="1:17" ht="15.75" customHeight="1" x14ac:dyDescent="0.25">
      <c r="A40" s="382"/>
      <c r="B40" s="209"/>
      <c r="C40" s="209"/>
      <c r="D40" s="216"/>
      <c r="E40" s="217"/>
      <c r="F40" s="79"/>
      <c r="G40" s="200"/>
      <c r="H40" s="209"/>
      <c r="I40" s="216"/>
      <c r="J40" s="217"/>
      <c r="K40" s="79"/>
      <c r="L40" s="200"/>
      <c r="M40" s="209"/>
      <c r="N40" s="216"/>
      <c r="O40" s="217"/>
      <c r="P40" s="79"/>
      <c r="Q40" s="378"/>
    </row>
    <row r="41" spans="1:17" ht="13.8" x14ac:dyDescent="0.25">
      <c r="A41" s="379" t="s">
        <v>139</v>
      </c>
      <c r="B41" s="220"/>
      <c r="C41" s="220"/>
      <c r="D41" s="216"/>
      <c r="E41" s="217"/>
      <c r="F41" s="79"/>
      <c r="G41" s="200"/>
      <c r="H41" s="220"/>
      <c r="I41" s="220"/>
      <c r="J41" s="217"/>
      <c r="K41" s="79"/>
      <c r="L41" s="200"/>
      <c r="M41" s="220"/>
      <c r="N41" s="216"/>
      <c r="O41" s="217"/>
      <c r="P41" s="79"/>
      <c r="Q41" s="378"/>
    </row>
    <row r="42" spans="1:17" ht="15" customHeight="1" x14ac:dyDescent="0.25">
      <c r="A42" s="391" t="s">
        <v>349</v>
      </c>
      <c r="B42" s="219"/>
      <c r="C42" s="201"/>
      <c r="D42" s="211"/>
      <c r="E42" s="206"/>
      <c r="F42" s="79"/>
      <c r="G42" s="200"/>
      <c r="H42" s="201"/>
      <c r="I42" s="211"/>
      <c r="J42" s="206"/>
      <c r="K42" s="79"/>
      <c r="L42" s="200"/>
      <c r="M42" s="201"/>
      <c r="N42" s="211"/>
      <c r="O42" s="206"/>
      <c r="P42" s="79"/>
      <c r="Q42" s="378"/>
    </row>
    <row r="43" spans="1:17" ht="15" customHeight="1" x14ac:dyDescent="0.25">
      <c r="A43" s="391" t="s">
        <v>140</v>
      </c>
      <c r="B43" s="219"/>
      <c r="C43" s="201"/>
      <c r="D43" s="211"/>
      <c r="E43" s="206"/>
      <c r="F43" s="79"/>
      <c r="G43" s="200"/>
      <c r="H43" s="201"/>
      <c r="I43" s="211"/>
      <c r="J43" s="206"/>
      <c r="K43" s="79"/>
      <c r="L43" s="200"/>
      <c r="M43" s="201"/>
      <c r="N43" s="211"/>
      <c r="O43" s="206"/>
      <c r="P43" s="79"/>
      <c r="Q43" s="378"/>
    </row>
    <row r="44" spans="1:17" ht="15" customHeight="1" x14ac:dyDescent="0.25">
      <c r="A44" s="391" t="s">
        <v>141</v>
      </c>
      <c r="B44" s="219"/>
      <c r="C44" s="201"/>
      <c r="D44" s="211"/>
      <c r="E44" s="206"/>
      <c r="F44" s="79"/>
      <c r="G44" s="200"/>
      <c r="H44" s="201"/>
      <c r="I44" s="211"/>
      <c r="J44" s="206"/>
      <c r="K44" s="79"/>
      <c r="L44" s="200"/>
      <c r="M44" s="201"/>
      <c r="N44" s="211"/>
      <c r="O44" s="206"/>
      <c r="P44" s="79"/>
      <c r="Q44" s="378"/>
    </row>
    <row r="45" spans="1:17" ht="15" customHeight="1" x14ac:dyDescent="0.25">
      <c r="A45" s="391" t="s">
        <v>142</v>
      </c>
      <c r="B45" s="219"/>
      <c r="C45" s="201"/>
      <c r="D45" s="211"/>
      <c r="E45" s="206"/>
      <c r="F45" s="79"/>
      <c r="G45" s="200"/>
      <c r="H45" s="201"/>
      <c r="I45" s="211"/>
      <c r="J45" s="206"/>
      <c r="K45" s="79"/>
      <c r="L45" s="200"/>
      <c r="M45" s="201"/>
      <c r="N45" s="211"/>
      <c r="O45" s="206"/>
      <c r="P45" s="79"/>
      <c r="Q45" s="378"/>
    </row>
    <row r="46" spans="1:17" ht="15" customHeight="1" x14ac:dyDescent="0.25">
      <c r="A46" s="391" t="s">
        <v>350</v>
      </c>
      <c r="B46" s="219"/>
      <c r="C46" s="201"/>
      <c r="D46" s="211"/>
      <c r="E46" s="206"/>
      <c r="F46" s="79"/>
      <c r="G46" s="200"/>
      <c r="H46" s="201"/>
      <c r="I46" s="211"/>
      <c r="J46" s="206"/>
      <c r="K46" s="79"/>
      <c r="L46" s="200"/>
      <c r="M46" s="201"/>
      <c r="N46" s="211"/>
      <c r="O46" s="206"/>
      <c r="P46" s="79"/>
      <c r="Q46" s="378"/>
    </row>
    <row r="47" spans="1:17" ht="13.8" x14ac:dyDescent="0.25">
      <c r="A47" s="386" t="s">
        <v>143</v>
      </c>
      <c r="B47" s="212"/>
      <c r="C47" s="200"/>
      <c r="D47" s="214">
        <f>SUM(D42:D46)</f>
        <v>0</v>
      </c>
      <c r="E47" s="204"/>
      <c r="F47" s="80"/>
      <c r="G47" s="218"/>
      <c r="H47" s="200"/>
      <c r="I47" s="214">
        <f>SUM(I42:I46)</f>
        <v>0</v>
      </c>
      <c r="J47" s="204"/>
      <c r="K47" s="80"/>
      <c r="L47" s="218"/>
      <c r="M47" s="200"/>
      <c r="N47" s="214">
        <f>SUM(N42:N46)</f>
        <v>0</v>
      </c>
      <c r="O47" s="204"/>
      <c r="P47" s="80"/>
      <c r="Q47" s="387"/>
    </row>
    <row r="48" spans="1:17" ht="5.25" customHeight="1" x14ac:dyDescent="0.25">
      <c r="A48" s="381"/>
      <c r="B48" s="202"/>
      <c r="C48" s="209"/>
      <c r="D48" s="216"/>
      <c r="E48" s="217"/>
      <c r="F48" s="79"/>
      <c r="G48" s="200"/>
      <c r="H48" s="209"/>
      <c r="I48" s="216"/>
      <c r="J48" s="217"/>
      <c r="K48" s="79"/>
      <c r="L48" s="200"/>
      <c r="M48" s="209"/>
      <c r="N48" s="216"/>
      <c r="O48" s="217"/>
      <c r="P48" s="79"/>
      <c r="Q48" s="378"/>
    </row>
    <row r="49" spans="1:17" ht="13.8" x14ac:dyDescent="0.25">
      <c r="A49" s="379" t="s">
        <v>144</v>
      </c>
      <c r="B49" s="220"/>
      <c r="C49" s="220"/>
      <c r="D49" s="216"/>
      <c r="E49" s="217"/>
      <c r="F49" s="79"/>
      <c r="G49" s="200"/>
      <c r="H49" s="220"/>
      <c r="I49" s="216"/>
      <c r="J49" s="217"/>
      <c r="K49" s="79"/>
      <c r="L49" s="200"/>
      <c r="M49" s="220"/>
      <c r="N49" s="216"/>
      <c r="O49" s="217"/>
      <c r="P49" s="79"/>
      <c r="Q49" s="378"/>
    </row>
    <row r="50" spans="1:17" ht="13.8" x14ac:dyDescent="0.25">
      <c r="A50" s="381" t="s">
        <v>145</v>
      </c>
      <c r="B50" s="209"/>
      <c r="C50" s="201"/>
      <c r="D50" s="216"/>
      <c r="E50" s="206"/>
      <c r="F50" s="79"/>
      <c r="G50" s="200"/>
      <c r="H50" s="201"/>
      <c r="I50" s="216"/>
      <c r="J50" s="206"/>
      <c r="K50" s="79"/>
      <c r="L50" s="200"/>
      <c r="M50" s="201"/>
      <c r="N50" s="216"/>
      <c r="O50" s="206"/>
      <c r="P50" s="79"/>
      <c r="Q50" s="378"/>
    </row>
    <row r="51" spans="1:17" ht="15" customHeight="1" x14ac:dyDescent="0.25">
      <c r="A51" s="388" t="s">
        <v>146</v>
      </c>
      <c r="B51" s="209"/>
      <c r="C51" s="201"/>
      <c r="D51" s="211"/>
      <c r="E51" s="206"/>
      <c r="F51" s="79"/>
      <c r="G51" s="200"/>
      <c r="H51" s="201"/>
      <c r="I51" s="211"/>
      <c r="J51" s="206"/>
      <c r="K51" s="79"/>
      <c r="L51" s="200"/>
      <c r="M51" s="201"/>
      <c r="N51" s="211"/>
      <c r="O51" s="206"/>
      <c r="P51" s="79"/>
      <c r="Q51" s="378"/>
    </row>
    <row r="52" spans="1:17" ht="15" customHeight="1" x14ac:dyDescent="0.25">
      <c r="A52" s="388" t="s">
        <v>147</v>
      </c>
      <c r="B52" s="209"/>
      <c r="C52" s="201"/>
      <c r="D52" s="211"/>
      <c r="E52" s="206"/>
      <c r="F52" s="79"/>
      <c r="G52" s="200"/>
      <c r="H52" s="201"/>
      <c r="I52" s="211"/>
      <c r="J52" s="206"/>
      <c r="K52" s="79"/>
      <c r="L52" s="200"/>
      <c r="M52" s="201"/>
      <c r="N52" s="211"/>
      <c r="O52" s="206"/>
      <c r="P52" s="79"/>
      <c r="Q52" s="378"/>
    </row>
    <row r="53" spans="1:17" ht="15" customHeight="1" x14ac:dyDescent="0.25">
      <c r="A53" s="381" t="s">
        <v>148</v>
      </c>
      <c r="B53" s="209"/>
      <c r="C53" s="201"/>
      <c r="D53" s="211"/>
      <c r="E53" s="206"/>
      <c r="F53" s="79"/>
      <c r="G53" s="200"/>
      <c r="H53" s="201"/>
      <c r="I53" s="211"/>
      <c r="J53" s="206"/>
      <c r="K53" s="79"/>
      <c r="L53" s="200"/>
      <c r="M53" s="201"/>
      <c r="N53" s="211"/>
      <c r="O53" s="206"/>
      <c r="P53" s="79"/>
      <c r="Q53" s="378"/>
    </row>
    <row r="54" spans="1:17" ht="15" customHeight="1" x14ac:dyDescent="0.25">
      <c r="A54" s="381" t="s">
        <v>149</v>
      </c>
      <c r="B54" s="209"/>
      <c r="C54" s="201"/>
      <c r="D54" s="216"/>
      <c r="E54" s="206"/>
      <c r="F54" s="79"/>
      <c r="G54" s="200"/>
      <c r="H54" s="201"/>
      <c r="I54" s="216"/>
      <c r="J54" s="206"/>
      <c r="K54" s="79"/>
      <c r="L54" s="200"/>
      <c r="M54" s="201"/>
      <c r="N54" s="216"/>
      <c r="O54" s="206"/>
      <c r="P54" s="79"/>
      <c r="Q54" s="378"/>
    </row>
    <row r="55" spans="1:17" ht="15" customHeight="1" x14ac:dyDescent="0.25">
      <c r="A55" s="388" t="s">
        <v>150</v>
      </c>
      <c r="B55" s="209"/>
      <c r="C55" s="201"/>
      <c r="D55" s="211"/>
      <c r="E55" s="206"/>
      <c r="F55" s="79"/>
      <c r="G55" s="200"/>
      <c r="H55" s="201"/>
      <c r="I55" s="211"/>
      <c r="J55" s="206"/>
      <c r="K55" s="79"/>
      <c r="L55" s="200"/>
      <c r="M55" s="201"/>
      <c r="N55" s="211"/>
      <c r="O55" s="206"/>
      <c r="P55" s="79"/>
      <c r="Q55" s="378"/>
    </row>
    <row r="56" spans="1:17" ht="15" customHeight="1" x14ac:dyDescent="0.25">
      <c r="A56" s="388" t="s">
        <v>151</v>
      </c>
      <c r="B56" s="209"/>
      <c r="C56" s="201"/>
      <c r="D56" s="211"/>
      <c r="E56" s="206"/>
      <c r="F56" s="79"/>
      <c r="G56" s="200"/>
      <c r="H56" s="201"/>
      <c r="I56" s="211"/>
      <c r="J56" s="206"/>
      <c r="K56" s="79"/>
      <c r="L56" s="200"/>
      <c r="M56" s="201"/>
      <c r="N56" s="211"/>
      <c r="O56" s="206"/>
      <c r="P56" s="79"/>
      <c r="Q56" s="378"/>
    </row>
    <row r="57" spans="1:17" ht="15" customHeight="1" x14ac:dyDescent="0.25">
      <c r="A57" s="391" t="s">
        <v>152</v>
      </c>
      <c r="B57" s="209"/>
      <c r="C57" s="201"/>
      <c r="D57" s="211"/>
      <c r="E57" s="206"/>
      <c r="F57" s="79"/>
      <c r="G57" s="200"/>
      <c r="H57" s="201"/>
      <c r="I57" s="211"/>
      <c r="J57" s="206"/>
      <c r="K57" s="79"/>
      <c r="L57" s="200"/>
      <c r="M57" s="201"/>
      <c r="N57" s="211"/>
      <c r="O57" s="206"/>
      <c r="P57" s="79"/>
      <c r="Q57" s="378"/>
    </row>
    <row r="58" spans="1:17" ht="15" customHeight="1" x14ac:dyDescent="0.25">
      <c r="A58" s="393" t="s">
        <v>153</v>
      </c>
      <c r="B58" s="201"/>
      <c r="C58" s="201"/>
      <c r="D58" s="211"/>
      <c r="E58" s="206"/>
      <c r="F58" s="79"/>
      <c r="G58" s="200"/>
      <c r="H58" s="201"/>
      <c r="I58" s="211"/>
      <c r="J58" s="206"/>
      <c r="K58" s="79"/>
      <c r="L58" s="200"/>
      <c r="M58" s="201"/>
      <c r="N58" s="211"/>
      <c r="O58" s="206"/>
      <c r="P58" s="79"/>
      <c r="Q58" s="378"/>
    </row>
    <row r="59" spans="1:17" ht="15" customHeight="1" x14ac:dyDescent="0.25">
      <c r="A59" s="393" t="s">
        <v>832</v>
      </c>
      <c r="B59" s="201"/>
      <c r="C59" s="201"/>
      <c r="D59" s="211"/>
      <c r="E59" s="206"/>
      <c r="F59" s="79"/>
      <c r="G59" s="200"/>
      <c r="H59" s="201"/>
      <c r="I59" s="211"/>
      <c r="J59" s="206"/>
      <c r="K59" s="79"/>
      <c r="L59" s="200"/>
      <c r="M59" s="201"/>
      <c r="N59" s="211"/>
      <c r="O59" s="206"/>
      <c r="P59" s="79"/>
      <c r="Q59" s="378"/>
    </row>
    <row r="60" spans="1:17" ht="15" customHeight="1" x14ac:dyDescent="0.25">
      <c r="A60" s="391" t="s">
        <v>154</v>
      </c>
      <c r="B60" s="201"/>
      <c r="C60" s="201"/>
      <c r="D60" s="211"/>
      <c r="E60" s="206"/>
      <c r="F60" s="79"/>
      <c r="G60" s="200"/>
      <c r="H60" s="201"/>
      <c r="I60" s="211"/>
      <c r="J60" s="206"/>
      <c r="K60" s="79"/>
      <c r="L60" s="200"/>
      <c r="M60" s="201"/>
      <c r="N60" s="211"/>
      <c r="O60" s="206"/>
      <c r="P60" s="79"/>
      <c r="Q60" s="378"/>
    </row>
    <row r="61" spans="1:17" ht="15" customHeight="1" x14ac:dyDescent="0.25">
      <c r="A61" s="391" t="s">
        <v>155</v>
      </c>
      <c r="B61" s="201"/>
      <c r="C61" s="201"/>
      <c r="D61" s="211"/>
      <c r="E61" s="206"/>
      <c r="F61" s="79"/>
      <c r="G61" s="200"/>
      <c r="H61" s="201"/>
      <c r="I61" s="211"/>
      <c r="J61" s="206"/>
      <c r="K61" s="79"/>
      <c r="L61" s="200"/>
      <c r="M61" s="201"/>
      <c r="N61" s="211"/>
      <c r="O61" s="206"/>
      <c r="P61" s="79"/>
      <c r="Q61" s="378"/>
    </row>
    <row r="62" spans="1:17" ht="15" customHeight="1" x14ac:dyDescent="0.25">
      <c r="A62" s="391" t="s">
        <v>156</v>
      </c>
      <c r="B62" s="201"/>
      <c r="C62" s="201"/>
      <c r="D62" s="211"/>
      <c r="E62" s="206"/>
      <c r="F62" s="79"/>
      <c r="G62" s="200"/>
      <c r="H62" s="201"/>
      <c r="I62" s="211"/>
      <c r="J62" s="206"/>
      <c r="K62" s="79"/>
      <c r="L62" s="200"/>
      <c r="M62" s="201"/>
      <c r="N62" s="211"/>
      <c r="O62" s="206"/>
      <c r="P62" s="79"/>
      <c r="Q62" s="378"/>
    </row>
    <row r="63" spans="1:17" ht="13.8" x14ac:dyDescent="0.25">
      <c r="A63" s="386" t="s">
        <v>157</v>
      </c>
      <c r="B63" s="212"/>
      <c r="C63" s="200"/>
      <c r="D63" s="214">
        <f>SUM(D51:D62)</f>
        <v>0</v>
      </c>
      <c r="E63" s="204"/>
      <c r="F63" s="80"/>
      <c r="G63" s="218"/>
      <c r="H63" s="200"/>
      <c r="I63" s="214">
        <f>SUM(I51:I62)</f>
        <v>0</v>
      </c>
      <c r="J63" s="204"/>
      <c r="K63" s="80"/>
      <c r="L63" s="218"/>
      <c r="M63" s="200"/>
      <c r="N63" s="214">
        <f>SUM(N51:N62)</f>
        <v>0</v>
      </c>
      <c r="O63" s="204"/>
      <c r="P63" s="80"/>
      <c r="Q63" s="387"/>
    </row>
    <row r="64" spans="1:17" ht="8.1" customHeight="1" x14ac:dyDescent="0.25">
      <c r="A64" s="381"/>
      <c r="B64" s="209"/>
      <c r="C64" s="209"/>
      <c r="D64" s="216"/>
      <c r="E64" s="217"/>
      <c r="F64" s="79"/>
      <c r="G64" s="200"/>
      <c r="H64" s="209"/>
      <c r="I64" s="216"/>
      <c r="J64" s="217"/>
      <c r="K64" s="79"/>
      <c r="L64" s="200"/>
      <c r="M64" s="209"/>
      <c r="N64" s="216"/>
      <c r="O64" s="217"/>
      <c r="P64" s="79"/>
      <c r="Q64" s="378"/>
    </row>
    <row r="65" spans="1:17" ht="13.8" x14ac:dyDescent="0.25">
      <c r="A65" s="379" t="s">
        <v>70</v>
      </c>
      <c r="B65" s="220"/>
      <c r="C65" s="220"/>
      <c r="D65" s="214">
        <f>+D5+D39+D47+D63</f>
        <v>1</v>
      </c>
      <c r="E65" s="204"/>
      <c r="F65" s="80"/>
      <c r="G65" s="218"/>
      <c r="H65" s="220"/>
      <c r="I65" s="214">
        <f>+I5+I39+I47+I63</f>
        <v>1</v>
      </c>
      <c r="J65" s="204"/>
      <c r="K65" s="80"/>
      <c r="L65" s="218"/>
      <c r="M65" s="220"/>
      <c r="N65" s="214">
        <f>+N5+N39+N47+N63</f>
        <v>1</v>
      </c>
      <c r="O65" s="204"/>
      <c r="P65" s="80"/>
      <c r="Q65" s="387"/>
    </row>
    <row r="66" spans="1:17" ht="6.6" customHeight="1" x14ac:dyDescent="0.25">
      <c r="A66" s="381"/>
      <c r="B66" s="209"/>
      <c r="C66" s="209"/>
      <c r="D66" s="216"/>
      <c r="E66" s="217"/>
      <c r="F66" s="79"/>
      <c r="G66" s="200"/>
      <c r="H66" s="209"/>
      <c r="I66" s="216"/>
      <c r="J66" s="217"/>
      <c r="K66" s="79"/>
      <c r="L66" s="200"/>
      <c r="M66" s="209"/>
      <c r="N66" s="216"/>
      <c r="O66" s="217"/>
      <c r="P66" s="79"/>
      <c r="Q66" s="378"/>
    </row>
    <row r="67" spans="1:17" ht="15" customHeight="1" x14ac:dyDescent="0.25">
      <c r="A67" s="379" t="s">
        <v>158</v>
      </c>
      <c r="B67" s="220"/>
      <c r="C67" s="220"/>
      <c r="D67" s="221"/>
      <c r="E67" s="204"/>
      <c r="F67" s="80"/>
      <c r="G67" s="218"/>
      <c r="H67" s="220"/>
      <c r="I67" s="221"/>
      <c r="J67" s="204"/>
      <c r="K67" s="80"/>
      <c r="L67" s="218"/>
      <c r="M67" s="220"/>
      <c r="N67" s="221"/>
      <c r="O67" s="204"/>
      <c r="P67" s="80"/>
      <c r="Q67" s="387"/>
    </row>
    <row r="68" spans="1:17" ht="7.35" customHeight="1" x14ac:dyDescent="0.25">
      <c r="A68" s="381"/>
      <c r="B68" s="209"/>
      <c r="C68" s="209"/>
      <c r="D68" s="216"/>
      <c r="E68" s="206"/>
      <c r="F68" s="79"/>
      <c r="G68" s="200"/>
      <c r="H68" s="209"/>
      <c r="I68" s="216"/>
      <c r="J68" s="206"/>
      <c r="K68" s="79"/>
      <c r="L68" s="200"/>
      <c r="M68" s="209"/>
      <c r="N68" s="216"/>
      <c r="O68" s="206"/>
      <c r="P68" s="79"/>
      <c r="Q68" s="378"/>
    </row>
    <row r="69" spans="1:17" ht="15" customHeight="1" x14ac:dyDescent="0.25">
      <c r="A69" s="379" t="s">
        <v>351</v>
      </c>
      <c r="B69" s="220"/>
      <c r="C69" s="220"/>
      <c r="D69" s="221"/>
      <c r="E69" s="204"/>
      <c r="F69" s="80"/>
      <c r="G69" s="218"/>
      <c r="H69" s="220"/>
      <c r="I69" s="221"/>
      <c r="J69" s="204"/>
      <c r="K69" s="80"/>
      <c r="L69" s="218"/>
      <c r="M69" s="220"/>
      <c r="N69" s="221"/>
      <c r="O69" s="204"/>
      <c r="P69" s="80"/>
      <c r="Q69" s="387"/>
    </row>
    <row r="70" spans="1:17" ht="8.25" customHeight="1" thickBot="1" x14ac:dyDescent="0.3">
      <c r="A70" s="381"/>
      <c r="B70" s="209"/>
      <c r="C70" s="209"/>
      <c r="D70" s="216"/>
      <c r="E70" s="206"/>
      <c r="F70" s="79"/>
      <c r="G70" s="200"/>
      <c r="H70" s="209"/>
      <c r="I70" s="216"/>
      <c r="J70" s="206"/>
      <c r="K70" s="79"/>
      <c r="L70" s="200"/>
      <c r="M70" s="209"/>
      <c r="N70" s="216"/>
      <c r="O70" s="206"/>
      <c r="P70" s="79"/>
      <c r="Q70" s="378"/>
    </row>
    <row r="71" spans="1:17" ht="35.1" customHeight="1" thickBot="1" x14ac:dyDescent="0.3">
      <c r="A71" s="644" t="s">
        <v>71</v>
      </c>
      <c r="B71" s="645"/>
      <c r="C71" s="646"/>
      <c r="D71" s="223">
        <f>+D65+D67+D69-D5</f>
        <v>0</v>
      </c>
      <c r="E71" s="224"/>
      <c r="F71" s="81">
        <f>+D71*$F$5</f>
        <v>0</v>
      </c>
      <c r="G71" s="218"/>
      <c r="H71" s="222"/>
      <c r="I71" s="223">
        <f>+I65+I67+I69-I5</f>
        <v>0</v>
      </c>
      <c r="J71" s="224"/>
      <c r="K71" s="81">
        <f>+I71*$K$5</f>
        <v>0</v>
      </c>
      <c r="L71" s="218"/>
      <c r="M71" s="222"/>
      <c r="N71" s="223">
        <f>+N65+N67+N69-N5</f>
        <v>0</v>
      </c>
      <c r="O71" s="224"/>
      <c r="P71" s="81">
        <f>+N71*$P$5</f>
        <v>0</v>
      </c>
      <c r="Q71" s="387"/>
    </row>
    <row r="72" spans="1:17" ht="33" customHeight="1" thickBot="1" x14ac:dyDescent="0.3">
      <c r="A72" s="647" t="s">
        <v>72</v>
      </c>
      <c r="B72" s="648"/>
      <c r="C72" s="222"/>
      <c r="D72" s="223">
        <f>+D71+D5</f>
        <v>1</v>
      </c>
      <c r="E72" s="224"/>
      <c r="F72" s="394">
        <f>+D72*$F$5</f>
        <v>0</v>
      </c>
      <c r="G72" s="218"/>
      <c r="H72" s="222"/>
      <c r="I72" s="223">
        <f>+I71+I5</f>
        <v>1</v>
      </c>
      <c r="J72" s="224"/>
      <c r="K72" s="394">
        <f>+I72*$K$5</f>
        <v>0</v>
      </c>
      <c r="L72" s="218"/>
      <c r="M72" s="222"/>
      <c r="N72" s="223">
        <f>+N71+N5</f>
        <v>1</v>
      </c>
      <c r="O72" s="224"/>
      <c r="P72" s="394">
        <f>+N72*$P$5</f>
        <v>0</v>
      </c>
      <c r="Q72" s="387"/>
    </row>
    <row r="73" spans="1:17" x14ac:dyDescent="0.25">
      <c r="A73" s="395"/>
      <c r="B73" s="196"/>
      <c r="C73" s="196"/>
      <c r="D73" s="225"/>
      <c r="E73" s="196"/>
      <c r="F73" s="196"/>
      <c r="G73" s="196"/>
      <c r="H73" s="196"/>
      <c r="I73" s="225"/>
      <c r="J73" s="196"/>
      <c r="K73" s="196"/>
      <c r="L73" s="196"/>
      <c r="M73" s="196"/>
      <c r="N73" s="225"/>
      <c r="O73" s="196"/>
      <c r="P73" s="196"/>
      <c r="Q73" s="371"/>
    </row>
    <row r="74" spans="1:17" ht="23.1" customHeight="1" x14ac:dyDescent="0.25">
      <c r="A74" s="200"/>
      <c r="B74" s="200"/>
      <c r="C74" s="200"/>
      <c r="D74" s="396"/>
      <c r="E74" s="226" t="s">
        <v>73</v>
      </c>
      <c r="F74" s="397">
        <f>D6</f>
        <v>0</v>
      </c>
      <c r="G74" s="200"/>
      <c r="H74" s="200"/>
      <c r="I74" s="200"/>
      <c r="J74" s="200"/>
      <c r="K74" s="200"/>
      <c r="L74" s="200"/>
      <c r="M74" s="649" t="s">
        <v>3</v>
      </c>
      <c r="N74" s="632">
        <f>Basisdaten!E5</f>
        <v>0</v>
      </c>
      <c r="O74" s="632"/>
      <c r="P74" s="632"/>
      <c r="Q74" s="378"/>
    </row>
    <row r="75" spans="1:17" ht="23.1" customHeight="1" x14ac:dyDescent="0.25">
      <c r="A75" s="200"/>
      <c r="B75" s="200"/>
      <c r="C75" s="200"/>
      <c r="D75" s="396"/>
      <c r="E75" s="226" t="s">
        <v>352</v>
      </c>
      <c r="F75" s="397">
        <f>I6</f>
        <v>0</v>
      </c>
      <c r="G75" s="200"/>
      <c r="H75" s="200"/>
      <c r="I75" s="200"/>
      <c r="J75" s="200"/>
      <c r="K75" s="200"/>
      <c r="L75" s="200"/>
      <c r="M75" s="649"/>
      <c r="N75" s="632"/>
      <c r="O75" s="632"/>
      <c r="P75" s="632"/>
      <c r="Q75" s="378"/>
    </row>
    <row r="76" spans="1:17" ht="23.55" customHeight="1" x14ac:dyDescent="0.25">
      <c r="A76" s="200"/>
      <c r="B76" s="200"/>
      <c r="C76" s="200"/>
      <c r="D76" s="396"/>
      <c r="E76" s="226" t="s">
        <v>353</v>
      </c>
      <c r="F76" s="397">
        <f>N6</f>
        <v>0</v>
      </c>
      <c r="G76" s="200"/>
      <c r="H76" s="200"/>
      <c r="I76" s="200"/>
      <c r="J76" s="200"/>
      <c r="K76" s="200"/>
      <c r="L76" s="200"/>
      <c r="M76" s="649"/>
      <c r="N76" s="650"/>
      <c r="O76" s="650"/>
      <c r="P76" s="650"/>
      <c r="Q76" s="378"/>
    </row>
    <row r="77" spans="1:17" ht="32.549999999999997" customHeight="1" x14ac:dyDescent="0.25">
      <c r="A77" s="200"/>
      <c r="B77" s="200"/>
      <c r="C77" s="200"/>
      <c r="D77" s="396"/>
      <c r="E77" s="226" t="s">
        <v>159</v>
      </c>
      <c r="F77" s="398">
        <f>ROUND(+F74*F72+F75*K72+F76*P72,2)</f>
        <v>0</v>
      </c>
      <c r="G77" s="200"/>
      <c r="H77" s="227"/>
      <c r="I77" s="399"/>
      <c r="J77" s="399"/>
      <c r="L77" s="200"/>
      <c r="M77" s="227" t="s">
        <v>1</v>
      </c>
      <c r="N77" s="638">
        <f>Basisdaten!E3</f>
        <v>0</v>
      </c>
      <c r="O77" s="638"/>
      <c r="Q77" s="378"/>
    </row>
    <row r="78" spans="1:17" ht="27.75" customHeight="1" x14ac:dyDescent="0.25">
      <c r="A78" s="200"/>
      <c r="B78" s="200"/>
      <c r="C78" s="200"/>
      <c r="D78" s="396"/>
      <c r="E78" s="226" t="s">
        <v>354</v>
      </c>
      <c r="F78" s="400">
        <f>((D5+D39)/D72)*F74+((I5+I39)/I72)*F75+((N5+N39)/N72)*F76</f>
        <v>0</v>
      </c>
      <c r="G78" s="200"/>
      <c r="H78" s="200"/>
      <c r="I78" s="200"/>
      <c r="J78" s="200"/>
      <c r="K78" s="200"/>
      <c r="L78" s="200"/>
      <c r="M78" s="200"/>
      <c r="N78" s="200"/>
      <c r="O78" s="200"/>
      <c r="P78" s="200"/>
      <c r="Q78" s="378"/>
    </row>
    <row r="79" spans="1:17" ht="9" customHeight="1" thickBot="1" x14ac:dyDescent="0.3">
      <c r="A79" s="401"/>
      <c r="B79" s="401"/>
      <c r="C79" s="401"/>
      <c r="D79" s="401"/>
      <c r="E79" s="401"/>
      <c r="F79" s="401"/>
      <c r="G79" s="401"/>
      <c r="H79" s="401"/>
      <c r="I79" s="401"/>
      <c r="J79" s="401"/>
      <c r="K79" s="401"/>
      <c r="L79" s="401"/>
      <c r="M79" s="401"/>
      <c r="N79" s="401"/>
      <c r="O79" s="401"/>
      <c r="P79" s="401"/>
      <c r="Q79" s="402"/>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C7A86-A037-4753-ABCF-25C814E2A08B}">
  <sheetPr codeName="Tabelle11">
    <tabColor theme="4" tint="0.79998168889431442"/>
  </sheetPr>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109375" style="9" customWidth="1"/>
    <col min="6" max="6" width="13.21875" style="9" customWidth="1"/>
    <col min="7" max="7" width="1.21875" style="9" customWidth="1"/>
    <col min="8" max="8" width="10.44140625" style="9" customWidth="1"/>
    <col min="9" max="9" width="14.21875" style="9" customWidth="1"/>
    <col min="10" max="10" width="1" style="9" customWidth="1"/>
    <col min="11" max="11" width="13.21875" style="9" customWidth="1"/>
    <col min="12" max="12" width="1.109375" style="9" customWidth="1"/>
    <col min="13" max="13" width="10.44140625" style="9" customWidth="1"/>
    <col min="14" max="14" width="13.44140625" style="9" customWidth="1"/>
    <col min="15" max="15" width="1.5546875" style="9" customWidth="1"/>
    <col min="16" max="16" width="13.21875" style="9" customWidth="1"/>
    <col min="17" max="17" width="0.88671875"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639" t="s">
        <v>842</v>
      </c>
      <c r="B1" s="640"/>
      <c r="C1" s="640"/>
      <c r="D1" s="640"/>
      <c r="E1" s="640"/>
      <c r="F1" s="640"/>
      <c r="G1" s="640"/>
      <c r="H1" s="640"/>
      <c r="I1" s="640"/>
      <c r="J1" s="640"/>
      <c r="K1" s="640"/>
      <c r="L1" s="640"/>
      <c r="M1" s="640"/>
      <c r="N1" s="640"/>
      <c r="O1" s="640"/>
      <c r="P1" s="640"/>
      <c r="Q1" s="641"/>
    </row>
    <row r="2" spans="1:20" ht="13.8" x14ac:dyDescent="0.25">
      <c r="A2" s="370"/>
      <c r="B2" s="196"/>
      <c r="C2" s="196"/>
      <c r="D2" s="197"/>
      <c r="E2" s="198"/>
      <c r="F2" s="198"/>
      <c r="G2" s="196"/>
      <c r="H2" s="196"/>
      <c r="I2" s="197"/>
      <c r="J2" s="198"/>
      <c r="K2" s="198"/>
      <c r="L2" s="196"/>
      <c r="M2" s="196"/>
      <c r="N2" s="197"/>
      <c r="O2" s="198"/>
      <c r="P2" s="198"/>
      <c r="Q2" s="371"/>
    </row>
    <row r="3" spans="1:20" ht="15.6" x14ac:dyDescent="0.25">
      <c r="A3" s="372"/>
      <c r="B3" s="373"/>
      <c r="C3" s="199" t="s">
        <v>338</v>
      </c>
      <c r="D3" s="199"/>
      <c r="E3" s="199"/>
      <c r="F3" s="199"/>
      <c r="G3" s="200"/>
      <c r="H3" s="642" t="s">
        <v>339</v>
      </c>
      <c r="I3" s="642"/>
      <c r="J3" s="642"/>
      <c r="K3" s="642"/>
      <c r="L3" s="200"/>
      <c r="M3" s="642" t="s">
        <v>340</v>
      </c>
      <c r="N3" s="642"/>
      <c r="O3" s="642"/>
      <c r="P3" s="642"/>
      <c r="Q3" s="643"/>
      <c r="R3" s="374"/>
      <c r="S3" s="374"/>
      <c r="T3" s="374"/>
    </row>
    <row r="4" spans="1:20" ht="16.350000000000001" customHeight="1" x14ac:dyDescent="0.25">
      <c r="A4" s="375"/>
      <c r="B4" s="200"/>
      <c r="C4" s="200"/>
      <c r="D4" s="376" t="s">
        <v>341</v>
      </c>
      <c r="E4" s="377"/>
      <c r="F4" s="377" t="s">
        <v>342</v>
      </c>
      <c r="G4" s="200"/>
      <c r="H4" s="200"/>
      <c r="I4" s="376" t="s">
        <v>341</v>
      </c>
      <c r="J4" s="377"/>
      <c r="K4" s="377" t="s">
        <v>342</v>
      </c>
      <c r="L4" s="200"/>
      <c r="M4" s="200"/>
      <c r="N4" s="376" t="s">
        <v>341</v>
      </c>
      <c r="O4" s="377"/>
      <c r="P4" s="377" t="s">
        <v>342</v>
      </c>
      <c r="Q4" s="378"/>
      <c r="R4" s="374"/>
    </row>
    <row r="5" spans="1:20" ht="17.55" customHeight="1" x14ac:dyDescent="0.25">
      <c r="A5" s="379" t="s">
        <v>112</v>
      </c>
      <c r="B5" s="422"/>
      <c r="C5" s="202"/>
      <c r="D5" s="203">
        <v>1</v>
      </c>
      <c r="E5" s="204"/>
      <c r="F5" s="308"/>
      <c r="G5" s="200"/>
      <c r="H5" s="202"/>
      <c r="I5" s="203">
        <v>1</v>
      </c>
      <c r="J5" s="204"/>
      <c r="K5" s="308"/>
      <c r="L5" s="200"/>
      <c r="M5" s="202"/>
      <c r="N5" s="203">
        <v>1</v>
      </c>
      <c r="O5" s="204"/>
      <c r="P5" s="308"/>
      <c r="Q5" s="378"/>
    </row>
    <row r="6" spans="1:20" ht="31.5" customHeight="1" x14ac:dyDescent="0.25">
      <c r="A6" s="379"/>
      <c r="B6" s="202"/>
      <c r="C6" s="550" t="s">
        <v>343</v>
      </c>
      <c r="D6" s="211"/>
      <c r="E6" s="206"/>
      <c r="F6" s="79"/>
      <c r="G6" s="200"/>
      <c r="H6" s="550" t="s">
        <v>344</v>
      </c>
      <c r="I6" s="211"/>
      <c r="J6" s="206"/>
      <c r="K6" s="79"/>
      <c r="L6" s="200"/>
      <c r="M6" s="550" t="s">
        <v>345</v>
      </c>
      <c r="N6" s="211"/>
      <c r="O6" s="206"/>
      <c r="P6" s="79"/>
      <c r="Q6" s="378"/>
    </row>
    <row r="7" spans="1:20" ht="9.6" customHeight="1" x14ac:dyDescent="0.25">
      <c r="A7" s="379"/>
      <c r="B7" s="202"/>
      <c r="C7" s="205"/>
      <c r="D7" s="205"/>
      <c r="E7" s="205"/>
      <c r="F7" s="206"/>
      <c r="G7" s="79"/>
      <c r="H7" s="200"/>
      <c r="I7" s="200"/>
      <c r="J7" s="202"/>
      <c r="K7" s="202"/>
      <c r="L7" s="202"/>
      <c r="M7" s="202"/>
      <c r="N7" s="202"/>
      <c r="O7" s="202"/>
      <c r="P7" s="79"/>
      <c r="Q7" s="378"/>
    </row>
    <row r="8" spans="1:20" ht="9" customHeight="1" x14ac:dyDescent="0.25">
      <c r="A8" s="379"/>
      <c r="B8" s="202"/>
      <c r="C8" s="202"/>
      <c r="D8" s="202"/>
      <c r="E8" s="202"/>
      <c r="F8" s="202"/>
      <c r="G8" s="202"/>
      <c r="H8" s="202"/>
      <c r="I8" s="202"/>
      <c r="J8" s="202"/>
      <c r="K8" s="202"/>
      <c r="L8" s="202"/>
      <c r="M8" s="202"/>
      <c r="N8" s="202"/>
      <c r="O8" s="202"/>
      <c r="P8" s="79"/>
      <c r="Q8" s="378"/>
    </row>
    <row r="9" spans="1:20" ht="13.8" x14ac:dyDescent="0.25">
      <c r="A9" s="379" t="s">
        <v>113</v>
      </c>
      <c r="B9" s="202"/>
      <c r="C9" s="207"/>
      <c r="D9" s="205"/>
      <c r="E9" s="208"/>
      <c r="F9" s="80"/>
      <c r="G9" s="200"/>
      <c r="H9" s="207"/>
      <c r="I9" s="205"/>
      <c r="J9" s="208"/>
      <c r="K9" s="80"/>
      <c r="L9" s="200"/>
      <c r="M9" s="207"/>
      <c r="N9" s="205"/>
      <c r="O9" s="208"/>
      <c r="P9" s="80"/>
      <c r="Q9" s="378"/>
    </row>
    <row r="10" spans="1:20" ht="5.25" customHeight="1" x14ac:dyDescent="0.25">
      <c r="A10" s="381"/>
      <c r="B10" s="209"/>
      <c r="C10" s="209"/>
      <c r="D10" s="210"/>
      <c r="E10" s="206"/>
      <c r="F10" s="79"/>
      <c r="G10" s="200"/>
      <c r="H10" s="209"/>
      <c r="I10" s="210"/>
      <c r="J10" s="206"/>
      <c r="K10" s="79"/>
      <c r="L10" s="200"/>
      <c r="M10" s="209"/>
      <c r="N10" s="210"/>
      <c r="O10" s="206"/>
      <c r="P10" s="79"/>
      <c r="Q10" s="378"/>
    </row>
    <row r="11" spans="1:20" ht="13.8" x14ac:dyDescent="0.25">
      <c r="A11" s="381" t="s">
        <v>114</v>
      </c>
      <c r="B11" s="201"/>
      <c r="C11" s="201"/>
      <c r="D11" s="210"/>
      <c r="E11" s="206"/>
      <c r="F11" s="79"/>
      <c r="G11" s="200"/>
      <c r="H11" s="201"/>
      <c r="I11" s="210"/>
      <c r="J11" s="206"/>
      <c r="K11" s="79"/>
      <c r="L11" s="200"/>
      <c r="M11" s="201"/>
      <c r="N11" s="210"/>
      <c r="O11" s="206"/>
      <c r="P11" s="79"/>
      <c r="Q11" s="378"/>
    </row>
    <row r="12" spans="1:20" ht="15" customHeight="1" x14ac:dyDescent="0.25">
      <c r="A12" s="382" t="s">
        <v>115</v>
      </c>
      <c r="B12" s="201"/>
      <c r="C12" s="201"/>
      <c r="D12" s="211"/>
      <c r="E12" s="206"/>
      <c r="F12" s="79"/>
      <c r="G12" s="200"/>
      <c r="H12" s="201"/>
      <c r="I12" s="211"/>
      <c r="J12" s="206"/>
      <c r="K12" s="79"/>
      <c r="L12" s="200"/>
      <c r="M12" s="201"/>
      <c r="N12" s="211"/>
      <c r="O12" s="206"/>
      <c r="P12" s="79"/>
      <c r="Q12" s="378"/>
    </row>
    <row r="13" spans="1:20" ht="15" customHeight="1" x14ac:dyDescent="0.25">
      <c r="A13" s="382" t="s">
        <v>116</v>
      </c>
      <c r="B13" s="201"/>
      <c r="C13" s="201"/>
      <c r="D13" s="211"/>
      <c r="E13" s="206"/>
      <c r="F13" s="79"/>
      <c r="G13" s="200"/>
      <c r="H13" s="201"/>
      <c r="I13" s="211"/>
      <c r="J13" s="206"/>
      <c r="K13" s="79"/>
      <c r="L13" s="200"/>
      <c r="M13" s="201"/>
      <c r="N13" s="211"/>
      <c r="O13" s="206"/>
      <c r="P13" s="79"/>
      <c r="Q13" s="378"/>
    </row>
    <row r="14" spans="1:20" ht="15" customHeight="1" x14ac:dyDescent="0.25">
      <c r="A14" s="382" t="s">
        <v>117</v>
      </c>
      <c r="B14" s="201"/>
      <c r="C14" s="201"/>
      <c r="D14" s="211"/>
      <c r="E14" s="206"/>
      <c r="F14" s="79"/>
      <c r="G14" s="200"/>
      <c r="H14" s="201"/>
      <c r="I14" s="211"/>
      <c r="J14" s="206"/>
      <c r="K14" s="79"/>
      <c r="L14" s="200"/>
      <c r="M14" s="201"/>
      <c r="N14" s="211"/>
      <c r="O14" s="206"/>
      <c r="P14" s="79"/>
      <c r="Q14" s="378"/>
    </row>
    <row r="15" spans="1:20" ht="15" customHeight="1" x14ac:dyDescent="0.25">
      <c r="A15" s="382" t="s">
        <v>118</v>
      </c>
      <c r="B15" s="201"/>
      <c r="C15" s="201"/>
      <c r="D15" s="211"/>
      <c r="E15" s="206"/>
      <c r="F15" s="79"/>
      <c r="G15" s="200"/>
      <c r="H15" s="201"/>
      <c r="I15" s="211"/>
      <c r="J15" s="206"/>
      <c r="K15" s="79"/>
      <c r="L15" s="200"/>
      <c r="M15" s="201"/>
      <c r="N15" s="211"/>
      <c r="O15" s="206"/>
      <c r="P15" s="79"/>
      <c r="Q15" s="378"/>
    </row>
    <row r="16" spans="1:20" ht="15" customHeight="1" x14ac:dyDescent="0.25">
      <c r="A16" s="382" t="s">
        <v>119</v>
      </c>
      <c r="B16" s="201"/>
      <c r="C16" s="201"/>
      <c r="D16" s="211"/>
      <c r="E16" s="206"/>
      <c r="F16" s="79"/>
      <c r="G16" s="200"/>
      <c r="H16" s="201"/>
      <c r="I16" s="211"/>
      <c r="J16" s="206"/>
      <c r="K16" s="79"/>
      <c r="L16" s="200"/>
      <c r="M16" s="201"/>
      <c r="N16" s="211"/>
      <c r="O16" s="206"/>
      <c r="P16" s="79"/>
      <c r="Q16" s="378"/>
    </row>
    <row r="17" spans="1:17" ht="15" customHeight="1" x14ac:dyDescent="0.25">
      <c r="A17" s="382" t="s">
        <v>120</v>
      </c>
      <c r="B17" s="201"/>
      <c r="C17" s="201"/>
      <c r="D17" s="211"/>
      <c r="E17" s="206"/>
      <c r="F17" s="79"/>
      <c r="G17" s="200"/>
      <c r="H17" s="201"/>
      <c r="I17" s="211"/>
      <c r="J17" s="206"/>
      <c r="K17" s="79"/>
      <c r="L17" s="200"/>
      <c r="M17" s="201"/>
      <c r="N17" s="211"/>
      <c r="O17" s="206"/>
      <c r="P17" s="79"/>
      <c r="Q17" s="378"/>
    </row>
    <row r="18" spans="1:17" ht="15" customHeight="1" x14ac:dyDescent="0.25">
      <c r="A18" s="382" t="s">
        <v>121</v>
      </c>
      <c r="B18" s="201"/>
      <c r="C18" s="201"/>
      <c r="D18" s="211"/>
      <c r="E18" s="206"/>
      <c r="F18" s="79"/>
      <c r="G18" s="200"/>
      <c r="H18" s="201"/>
      <c r="I18" s="211"/>
      <c r="J18" s="206"/>
      <c r="K18" s="79"/>
      <c r="L18" s="200"/>
      <c r="M18" s="201"/>
      <c r="N18" s="211"/>
      <c r="O18" s="206"/>
      <c r="P18" s="79"/>
      <c r="Q18" s="378"/>
    </row>
    <row r="19" spans="1:17" ht="13.8" x14ac:dyDescent="0.25">
      <c r="A19" s="383"/>
      <c r="B19" s="212" t="s">
        <v>122</v>
      </c>
      <c r="C19" s="213"/>
      <c r="D19" s="214">
        <f>SUM(D12:D18)</f>
        <v>0</v>
      </c>
      <c r="E19" s="204"/>
      <c r="F19" s="80"/>
      <c r="G19" s="200"/>
      <c r="H19" s="213"/>
      <c r="I19" s="214">
        <f>SUM(I12:I18)</f>
        <v>0</v>
      </c>
      <c r="J19" s="204"/>
      <c r="K19" s="80"/>
      <c r="L19" s="200"/>
      <c r="M19" s="213"/>
      <c r="N19" s="214">
        <f>SUM(N12:N18)</f>
        <v>0</v>
      </c>
      <c r="O19" s="204"/>
      <c r="P19" s="80"/>
      <c r="Q19" s="378"/>
    </row>
    <row r="20" spans="1:17" ht="6.6" customHeight="1" x14ac:dyDescent="0.25">
      <c r="A20" s="383"/>
      <c r="B20" s="215"/>
      <c r="C20" s="213"/>
      <c r="D20" s="216"/>
      <c r="E20" s="217"/>
      <c r="F20" s="79"/>
      <c r="G20" s="200"/>
      <c r="H20" s="213"/>
      <c r="I20" s="216"/>
      <c r="J20" s="217"/>
      <c r="K20" s="79"/>
      <c r="L20" s="200"/>
      <c r="M20" s="213"/>
      <c r="N20" s="216"/>
      <c r="O20" s="217"/>
      <c r="P20" s="79"/>
      <c r="Q20" s="378"/>
    </row>
    <row r="21" spans="1:17" ht="13.8" x14ac:dyDescent="0.25">
      <c r="A21" s="381" t="s">
        <v>123</v>
      </c>
      <c r="B21" s="209"/>
      <c r="C21" s="213"/>
      <c r="D21" s="216"/>
      <c r="E21" s="217"/>
      <c r="F21" s="79"/>
      <c r="G21" s="201"/>
      <c r="H21" s="213"/>
      <c r="I21" s="216"/>
      <c r="J21" s="217"/>
      <c r="K21" s="79"/>
      <c r="L21" s="201"/>
      <c r="M21" s="213"/>
      <c r="N21" s="216"/>
      <c r="O21" s="217"/>
      <c r="P21" s="79"/>
      <c r="Q21" s="384"/>
    </row>
    <row r="22" spans="1:17" ht="15" customHeight="1" x14ac:dyDescent="0.25">
      <c r="A22" s="382" t="s">
        <v>124</v>
      </c>
      <c r="B22" s="201"/>
      <c r="C22" s="213"/>
      <c r="D22" s="211"/>
      <c r="E22" s="206"/>
      <c r="F22" s="79"/>
      <c r="G22" s="201"/>
      <c r="H22" s="213"/>
      <c r="I22" s="211"/>
      <c r="J22" s="206"/>
      <c r="K22" s="79"/>
      <c r="L22" s="201"/>
      <c r="M22" s="213"/>
      <c r="N22" s="211"/>
      <c r="O22" s="206"/>
      <c r="P22" s="79"/>
      <c r="Q22" s="384"/>
    </row>
    <row r="23" spans="1:17" ht="15" customHeight="1" x14ac:dyDescent="0.25">
      <c r="A23" s="382" t="s">
        <v>125</v>
      </c>
      <c r="B23" s="201"/>
      <c r="C23" s="213"/>
      <c r="D23" s="385">
        <f>D$19*D22</f>
        <v>0</v>
      </c>
      <c r="E23" s="206"/>
      <c r="F23" s="79"/>
      <c r="G23" s="201"/>
      <c r="H23" s="213"/>
      <c r="I23" s="385">
        <f>I$19*I22</f>
        <v>0</v>
      </c>
      <c r="J23" s="206"/>
      <c r="K23" s="79"/>
      <c r="L23" s="201"/>
      <c r="M23" s="213"/>
      <c r="N23" s="385">
        <f>N$19*N22</f>
        <v>0</v>
      </c>
      <c r="O23" s="206"/>
      <c r="P23" s="79"/>
      <c r="Q23" s="384"/>
    </row>
    <row r="24" spans="1:17" ht="15" customHeight="1" x14ac:dyDescent="0.25">
      <c r="A24" s="382" t="s">
        <v>126</v>
      </c>
      <c r="B24" s="201"/>
      <c r="C24" s="213"/>
      <c r="D24" s="211"/>
      <c r="E24" s="206"/>
      <c r="F24" s="79"/>
      <c r="G24" s="201"/>
      <c r="H24" s="213"/>
      <c r="I24" s="211"/>
      <c r="J24" s="206"/>
      <c r="K24" s="79"/>
      <c r="L24" s="201"/>
      <c r="M24" s="213"/>
      <c r="N24" s="211"/>
      <c r="O24" s="206"/>
      <c r="P24" s="79"/>
      <c r="Q24" s="384"/>
    </row>
    <row r="25" spans="1:17" ht="15" customHeight="1" x14ac:dyDescent="0.25">
      <c r="A25" s="382" t="s">
        <v>127</v>
      </c>
      <c r="B25" s="201"/>
      <c r="C25" s="213"/>
      <c r="D25" s="385">
        <f>D$19*D24</f>
        <v>0</v>
      </c>
      <c r="E25" s="206"/>
      <c r="F25" s="79"/>
      <c r="G25" s="201"/>
      <c r="H25" s="213"/>
      <c r="I25" s="385">
        <f>I$19*I24</f>
        <v>0</v>
      </c>
      <c r="J25" s="206"/>
      <c r="K25" s="79"/>
      <c r="L25" s="201"/>
      <c r="M25" s="213"/>
      <c r="N25" s="385">
        <f>N$19*N24</f>
        <v>0</v>
      </c>
      <c r="O25" s="206"/>
      <c r="P25" s="79"/>
      <c r="Q25" s="384"/>
    </row>
    <row r="26" spans="1:17" ht="15" customHeight="1" x14ac:dyDescent="0.25">
      <c r="A26" s="382" t="s">
        <v>128</v>
      </c>
      <c r="B26" s="201"/>
      <c r="C26" s="213"/>
      <c r="D26" s="211"/>
      <c r="E26" s="206"/>
      <c r="F26" s="79"/>
      <c r="G26" s="201"/>
      <c r="H26" s="213"/>
      <c r="I26" s="211"/>
      <c r="J26" s="206"/>
      <c r="K26" s="79"/>
      <c r="L26" s="201"/>
      <c r="M26" s="213"/>
      <c r="N26" s="211"/>
      <c r="O26" s="206"/>
      <c r="P26" s="79"/>
      <c r="Q26" s="384"/>
    </row>
    <row r="27" spans="1:17" ht="15" customHeight="1" x14ac:dyDescent="0.25">
      <c r="A27" s="382" t="s">
        <v>129</v>
      </c>
      <c r="B27" s="201"/>
      <c r="C27" s="213"/>
      <c r="D27" s="385">
        <f>D$19*D26</f>
        <v>0</v>
      </c>
      <c r="E27" s="206"/>
      <c r="F27" s="79"/>
      <c r="G27" s="201"/>
      <c r="H27" s="213"/>
      <c r="I27" s="385">
        <f>I$19*I26</f>
        <v>0</v>
      </c>
      <c r="J27" s="206"/>
      <c r="K27" s="79"/>
      <c r="L27" s="201"/>
      <c r="M27" s="213"/>
      <c r="N27" s="385">
        <f>N$19*N26</f>
        <v>0</v>
      </c>
      <c r="O27" s="206"/>
      <c r="P27" s="79"/>
      <c r="Q27" s="384"/>
    </row>
    <row r="28" spans="1:17" ht="15" customHeight="1" x14ac:dyDescent="0.25">
      <c r="A28" s="382" t="s">
        <v>130</v>
      </c>
      <c r="B28" s="201"/>
      <c r="C28" s="213"/>
      <c r="D28" s="211"/>
      <c r="E28" s="206"/>
      <c r="F28" s="79"/>
      <c r="G28" s="201"/>
      <c r="H28" s="213"/>
      <c r="I28" s="211"/>
      <c r="J28" s="206"/>
      <c r="K28" s="79"/>
      <c r="L28" s="201"/>
      <c r="M28" s="213"/>
      <c r="N28" s="211"/>
      <c r="O28" s="206"/>
      <c r="P28" s="79"/>
      <c r="Q28" s="384"/>
    </row>
    <row r="29" spans="1:17" ht="15" customHeight="1" x14ac:dyDescent="0.25">
      <c r="A29" s="382" t="s">
        <v>131</v>
      </c>
      <c r="B29" s="201"/>
      <c r="C29" s="213"/>
      <c r="D29" s="385">
        <f>D$19*D28</f>
        <v>0</v>
      </c>
      <c r="E29" s="206"/>
      <c r="F29" s="79"/>
      <c r="G29" s="200"/>
      <c r="H29" s="213"/>
      <c r="I29" s="385">
        <f>I$19*I28</f>
        <v>0</v>
      </c>
      <c r="J29" s="206"/>
      <c r="K29" s="79"/>
      <c r="L29" s="200"/>
      <c r="M29" s="213"/>
      <c r="N29" s="385">
        <f>N$19*N28</f>
        <v>0</v>
      </c>
      <c r="O29" s="206"/>
      <c r="P29" s="79"/>
      <c r="Q29" s="378"/>
    </row>
    <row r="30" spans="1:17" ht="15" customHeight="1" x14ac:dyDescent="0.25">
      <c r="A30" s="382" t="s">
        <v>132</v>
      </c>
      <c r="B30" s="201"/>
      <c r="C30" s="201"/>
      <c r="D30" s="211"/>
      <c r="E30" s="206"/>
      <c r="F30" s="79"/>
      <c r="G30" s="200"/>
      <c r="H30" s="213"/>
      <c r="I30" s="211"/>
      <c r="J30" s="206"/>
      <c r="K30" s="79"/>
      <c r="L30" s="200"/>
      <c r="M30" s="213"/>
      <c r="N30" s="211"/>
      <c r="O30" s="206"/>
      <c r="P30" s="79"/>
      <c r="Q30" s="378"/>
    </row>
    <row r="31" spans="1:17" ht="13.8" x14ac:dyDescent="0.25">
      <c r="A31" s="382" t="s">
        <v>133</v>
      </c>
      <c r="B31" s="201"/>
      <c r="C31" s="201"/>
      <c r="D31" s="385">
        <f>D$19*D30</f>
        <v>0</v>
      </c>
      <c r="E31" s="206"/>
      <c r="F31" s="79"/>
      <c r="G31" s="200"/>
      <c r="H31" s="201"/>
      <c r="I31" s="385">
        <f>I$19*I30</f>
        <v>0</v>
      </c>
      <c r="J31" s="206"/>
      <c r="K31" s="79"/>
      <c r="L31" s="200"/>
      <c r="M31" s="201"/>
      <c r="N31" s="385">
        <f>N$19*N30</f>
        <v>0</v>
      </c>
      <c r="O31" s="206"/>
      <c r="P31" s="79"/>
      <c r="Q31" s="378"/>
    </row>
    <row r="32" spans="1:17" ht="13.8" x14ac:dyDescent="0.25">
      <c r="A32" s="386" t="s">
        <v>134</v>
      </c>
      <c r="B32" s="212"/>
      <c r="C32" s="213"/>
      <c r="D32" s="214">
        <f>SUM(D22:D31)</f>
        <v>0</v>
      </c>
      <c r="E32" s="204"/>
      <c r="F32" s="80"/>
      <c r="G32" s="218"/>
      <c r="H32" s="213"/>
      <c r="I32" s="214">
        <f>SUM(I22:I31)</f>
        <v>0</v>
      </c>
      <c r="J32" s="204"/>
      <c r="K32" s="80"/>
      <c r="L32" s="218"/>
      <c r="M32" s="213"/>
      <c r="N32" s="214">
        <f>SUM(N22:N31)</f>
        <v>0</v>
      </c>
      <c r="O32" s="204"/>
      <c r="P32" s="80"/>
      <c r="Q32" s="387"/>
    </row>
    <row r="33" spans="1:17" ht="8.1" customHeight="1" x14ac:dyDescent="0.25">
      <c r="A33" s="382"/>
      <c r="B33" s="201"/>
      <c r="C33" s="201"/>
      <c r="D33" s="216"/>
      <c r="E33" s="217"/>
      <c r="F33" s="79"/>
      <c r="G33" s="200"/>
      <c r="H33" s="201"/>
      <c r="I33" s="216"/>
      <c r="J33" s="217"/>
      <c r="K33" s="79"/>
      <c r="L33" s="200"/>
      <c r="M33" s="201"/>
      <c r="N33" s="216"/>
      <c r="O33" s="217"/>
      <c r="P33" s="79"/>
      <c r="Q33" s="378"/>
    </row>
    <row r="34" spans="1:17" ht="13.8" x14ac:dyDescent="0.25">
      <c r="A34" s="386" t="s">
        <v>135</v>
      </c>
      <c r="B34" s="212"/>
      <c r="C34" s="201"/>
      <c r="D34" s="214">
        <f>D32+D19</f>
        <v>0</v>
      </c>
      <c r="E34" s="217"/>
      <c r="F34" s="79"/>
      <c r="G34" s="200"/>
      <c r="H34" s="201"/>
      <c r="I34" s="214">
        <f>I32+I19</f>
        <v>0</v>
      </c>
      <c r="J34" s="217"/>
      <c r="K34" s="79"/>
      <c r="L34" s="200"/>
      <c r="M34" s="201"/>
      <c r="N34" s="214">
        <f>N32+N19</f>
        <v>0</v>
      </c>
      <c r="O34" s="217"/>
      <c r="P34" s="79"/>
      <c r="Q34" s="378"/>
    </row>
    <row r="35" spans="1:17" ht="7.35" customHeight="1" x14ac:dyDescent="0.25">
      <c r="A35" s="382"/>
      <c r="B35" s="201"/>
      <c r="C35" s="201"/>
      <c r="D35" s="216"/>
      <c r="E35" s="217"/>
      <c r="F35" s="79"/>
      <c r="G35" s="200"/>
      <c r="H35" s="201"/>
      <c r="I35" s="216"/>
      <c r="J35" s="217"/>
      <c r="K35" s="79"/>
      <c r="L35" s="200"/>
      <c r="M35" s="201"/>
      <c r="N35" s="216"/>
      <c r="O35" s="217"/>
      <c r="P35" s="79"/>
      <c r="Q35" s="378"/>
    </row>
    <row r="36" spans="1:17" ht="13.8" x14ac:dyDescent="0.25">
      <c r="A36" s="381" t="s">
        <v>136</v>
      </c>
      <c r="B36" s="209"/>
      <c r="C36" s="209"/>
      <c r="D36" s="216"/>
      <c r="E36" s="206"/>
      <c r="F36" s="79"/>
      <c r="G36" s="200"/>
      <c r="H36" s="209"/>
      <c r="I36" s="216"/>
      <c r="J36" s="206"/>
      <c r="K36" s="79"/>
      <c r="L36" s="200"/>
      <c r="M36" s="209"/>
      <c r="N36" s="216"/>
      <c r="O36" s="206"/>
      <c r="P36" s="79"/>
      <c r="Q36" s="378"/>
    </row>
    <row r="37" spans="1:17" ht="15" customHeight="1" x14ac:dyDescent="0.25">
      <c r="A37" s="388" t="s">
        <v>137</v>
      </c>
      <c r="B37" s="219"/>
      <c r="C37" s="209"/>
      <c r="D37" s="211"/>
      <c r="E37" s="206"/>
      <c r="F37" s="79"/>
      <c r="G37" s="200"/>
      <c r="H37" s="209"/>
      <c r="I37" s="211"/>
      <c r="J37" s="206"/>
      <c r="K37" s="79"/>
      <c r="L37" s="200"/>
      <c r="M37" s="209"/>
      <c r="N37" s="211"/>
      <c r="O37" s="206"/>
      <c r="P37" s="79"/>
      <c r="Q37" s="378"/>
    </row>
    <row r="38" spans="1:17" ht="15" customHeight="1" x14ac:dyDescent="0.25">
      <c r="A38" s="388" t="s">
        <v>138</v>
      </c>
      <c r="B38" s="219"/>
      <c r="C38" s="209"/>
      <c r="D38" s="211"/>
      <c r="E38" s="206"/>
      <c r="F38" s="79"/>
      <c r="G38" s="200"/>
      <c r="H38" s="209"/>
      <c r="I38" s="211"/>
      <c r="J38" s="206"/>
      <c r="K38" s="79"/>
      <c r="L38" s="200"/>
      <c r="M38" s="209"/>
      <c r="N38" s="211"/>
      <c r="O38" s="206"/>
      <c r="P38" s="79"/>
      <c r="Q38" s="378"/>
    </row>
    <row r="39" spans="1:17" ht="13.8" x14ac:dyDescent="0.25">
      <c r="A39" s="386" t="s">
        <v>69</v>
      </c>
      <c r="B39" s="212"/>
      <c r="C39" s="213"/>
      <c r="D39" s="214">
        <f>SUM(D37:D38)+D34</f>
        <v>0</v>
      </c>
      <c r="E39" s="204"/>
      <c r="F39" s="80"/>
      <c r="G39" s="218"/>
      <c r="H39" s="213"/>
      <c r="I39" s="214">
        <f>SUM(I37:I38)+I34</f>
        <v>0</v>
      </c>
      <c r="J39" s="204"/>
      <c r="K39" s="80"/>
      <c r="L39" s="218"/>
      <c r="M39" s="213"/>
      <c r="N39" s="214">
        <f>SUM(N37:N38)+N34</f>
        <v>0</v>
      </c>
      <c r="O39" s="204"/>
      <c r="P39" s="80"/>
      <c r="Q39" s="387"/>
    </row>
    <row r="40" spans="1:17" ht="15.75" customHeight="1" x14ac:dyDescent="0.25">
      <c r="A40" s="382"/>
      <c r="B40" s="209"/>
      <c r="C40" s="209"/>
      <c r="D40" s="216"/>
      <c r="E40" s="217"/>
      <c r="F40" s="79"/>
      <c r="G40" s="200"/>
      <c r="H40" s="209"/>
      <c r="I40" s="216"/>
      <c r="J40" s="217"/>
      <c r="K40" s="79"/>
      <c r="L40" s="200"/>
      <c r="M40" s="209"/>
      <c r="N40" s="216"/>
      <c r="O40" s="217"/>
      <c r="P40" s="80"/>
      <c r="Q40" s="378"/>
    </row>
    <row r="41" spans="1:17" ht="13.8" x14ac:dyDescent="0.25">
      <c r="A41" s="379" t="s">
        <v>139</v>
      </c>
      <c r="B41" s="220"/>
      <c r="C41" s="220"/>
      <c r="D41" s="216"/>
      <c r="E41" s="217"/>
      <c r="F41" s="79"/>
      <c r="G41" s="200"/>
      <c r="H41" s="220"/>
      <c r="I41" s="216"/>
      <c r="J41" s="217"/>
      <c r="K41" s="79"/>
      <c r="L41" s="200"/>
      <c r="M41" s="220"/>
      <c r="N41" s="216"/>
      <c r="O41" s="217"/>
      <c r="P41" s="80"/>
      <c r="Q41" s="378"/>
    </row>
    <row r="42" spans="1:17" ht="15" customHeight="1" x14ac:dyDescent="0.25">
      <c r="A42" s="391" t="s">
        <v>349</v>
      </c>
      <c r="B42" s="219"/>
      <c r="C42" s="201"/>
      <c r="D42" s="211"/>
      <c r="E42" s="206"/>
      <c r="F42" s="79"/>
      <c r="G42" s="200"/>
      <c r="H42" s="201"/>
      <c r="I42" s="211"/>
      <c r="J42" s="206"/>
      <c r="K42" s="79"/>
      <c r="L42" s="200"/>
      <c r="M42" s="201"/>
      <c r="N42" s="211"/>
      <c r="O42" s="206"/>
      <c r="P42" s="80"/>
      <c r="Q42" s="378"/>
    </row>
    <row r="43" spans="1:17" ht="15" customHeight="1" x14ac:dyDescent="0.25">
      <c r="A43" s="391" t="s">
        <v>140</v>
      </c>
      <c r="B43" s="219"/>
      <c r="C43" s="201"/>
      <c r="D43" s="211"/>
      <c r="E43" s="206"/>
      <c r="F43" s="79"/>
      <c r="G43" s="200"/>
      <c r="H43" s="201"/>
      <c r="I43" s="211"/>
      <c r="J43" s="206"/>
      <c r="K43" s="79"/>
      <c r="L43" s="200"/>
      <c r="M43" s="201"/>
      <c r="N43" s="211"/>
      <c r="O43" s="206"/>
      <c r="P43" s="80"/>
      <c r="Q43" s="378"/>
    </row>
    <row r="44" spans="1:17" ht="15" customHeight="1" x14ac:dyDescent="0.25">
      <c r="A44" s="391" t="s">
        <v>141</v>
      </c>
      <c r="B44" s="219"/>
      <c r="C44" s="201"/>
      <c r="D44" s="211"/>
      <c r="E44" s="206"/>
      <c r="F44" s="79"/>
      <c r="G44" s="200"/>
      <c r="H44" s="201"/>
      <c r="I44" s="211"/>
      <c r="J44" s="206"/>
      <c r="K44" s="79"/>
      <c r="L44" s="200"/>
      <c r="M44" s="201"/>
      <c r="N44" s="211"/>
      <c r="O44" s="206"/>
      <c r="P44" s="80"/>
      <c r="Q44" s="378"/>
    </row>
    <row r="45" spans="1:17" ht="15" customHeight="1" x14ac:dyDescent="0.25">
      <c r="A45" s="391" t="s">
        <v>142</v>
      </c>
      <c r="B45" s="219"/>
      <c r="C45" s="201"/>
      <c r="D45" s="211"/>
      <c r="E45" s="206"/>
      <c r="F45" s="79"/>
      <c r="G45" s="200"/>
      <c r="H45" s="201"/>
      <c r="I45" s="211"/>
      <c r="J45" s="206"/>
      <c r="K45" s="79"/>
      <c r="L45" s="200"/>
      <c r="M45" s="201"/>
      <c r="N45" s="211"/>
      <c r="O45" s="206"/>
      <c r="P45" s="80"/>
      <c r="Q45" s="378"/>
    </row>
    <row r="46" spans="1:17" ht="15" customHeight="1" x14ac:dyDescent="0.25">
      <c r="A46" s="391" t="s">
        <v>350</v>
      </c>
      <c r="B46" s="219"/>
      <c r="C46" s="201"/>
      <c r="D46" s="211"/>
      <c r="E46" s="206"/>
      <c r="F46" s="79"/>
      <c r="G46" s="200"/>
      <c r="H46" s="201"/>
      <c r="I46" s="211"/>
      <c r="J46" s="206"/>
      <c r="K46" s="79"/>
      <c r="L46" s="200"/>
      <c r="M46" s="201"/>
      <c r="N46" s="211"/>
      <c r="O46" s="206"/>
      <c r="P46" s="80"/>
      <c r="Q46" s="378"/>
    </row>
    <row r="47" spans="1:17" ht="13.8" x14ac:dyDescent="0.25">
      <c r="A47" s="386" t="s">
        <v>143</v>
      </c>
      <c r="B47" s="212"/>
      <c r="C47" s="200"/>
      <c r="D47" s="214">
        <f>SUM(D42:D46)</f>
        <v>0</v>
      </c>
      <c r="E47" s="204"/>
      <c r="F47" s="80"/>
      <c r="G47" s="218"/>
      <c r="H47" s="200"/>
      <c r="I47" s="214">
        <f>SUM(I42:I46)</f>
        <v>0</v>
      </c>
      <c r="J47" s="204"/>
      <c r="K47" s="80"/>
      <c r="L47" s="218"/>
      <c r="M47" s="200"/>
      <c r="N47" s="214">
        <f>SUM(N42:N46)</f>
        <v>0</v>
      </c>
      <c r="O47" s="204"/>
      <c r="P47" s="80"/>
      <c r="Q47" s="387"/>
    </row>
    <row r="48" spans="1:17" ht="5.25" customHeight="1" x14ac:dyDescent="0.25">
      <c r="A48" s="381"/>
      <c r="B48" s="202"/>
      <c r="C48" s="209"/>
      <c r="D48" s="216"/>
      <c r="E48" s="217"/>
      <c r="F48" s="79"/>
      <c r="G48" s="200"/>
      <c r="H48" s="209"/>
      <c r="I48" s="216"/>
      <c r="J48" s="217"/>
      <c r="K48" s="79"/>
      <c r="L48" s="200"/>
      <c r="M48" s="209"/>
      <c r="N48" s="216"/>
      <c r="O48" s="217"/>
      <c r="P48" s="79"/>
      <c r="Q48" s="378"/>
    </row>
    <row r="49" spans="1:17" ht="13.8" x14ac:dyDescent="0.25">
      <c r="A49" s="379" t="s">
        <v>144</v>
      </c>
      <c r="B49" s="220"/>
      <c r="C49" s="220"/>
      <c r="D49" s="216"/>
      <c r="E49" s="217"/>
      <c r="F49" s="79"/>
      <c r="G49" s="200"/>
      <c r="H49" s="220"/>
      <c r="I49" s="216"/>
      <c r="J49" s="217"/>
      <c r="K49" s="79"/>
      <c r="L49" s="200"/>
      <c r="M49" s="220"/>
      <c r="N49" s="216"/>
      <c r="O49" s="217"/>
      <c r="P49" s="79"/>
      <c r="Q49" s="378"/>
    </row>
    <row r="50" spans="1:17" ht="13.8" x14ac:dyDescent="0.25">
      <c r="A50" s="381" t="s">
        <v>145</v>
      </c>
      <c r="B50" s="209"/>
      <c r="C50" s="201"/>
      <c r="D50" s="216"/>
      <c r="E50" s="206"/>
      <c r="F50" s="79"/>
      <c r="G50" s="200"/>
      <c r="H50" s="201"/>
      <c r="I50" s="216"/>
      <c r="J50" s="206"/>
      <c r="K50" s="79"/>
      <c r="L50" s="200"/>
      <c r="M50" s="201"/>
      <c r="N50" s="216"/>
      <c r="O50" s="206"/>
      <c r="P50" s="79"/>
      <c r="Q50" s="378"/>
    </row>
    <row r="51" spans="1:17" ht="15" customHeight="1" x14ac:dyDescent="0.25">
      <c r="A51" s="388" t="s">
        <v>146</v>
      </c>
      <c r="B51" s="209"/>
      <c r="C51" s="201"/>
      <c r="D51" s="211"/>
      <c r="E51" s="206"/>
      <c r="F51" s="79"/>
      <c r="G51" s="200"/>
      <c r="H51" s="201"/>
      <c r="I51" s="211"/>
      <c r="J51" s="206"/>
      <c r="K51" s="79"/>
      <c r="L51" s="200"/>
      <c r="M51" s="201"/>
      <c r="N51" s="211"/>
      <c r="O51" s="206"/>
      <c r="P51" s="79"/>
      <c r="Q51" s="378"/>
    </row>
    <row r="52" spans="1:17" ht="15" customHeight="1" x14ac:dyDescent="0.25">
      <c r="A52" s="388" t="s">
        <v>147</v>
      </c>
      <c r="B52" s="209"/>
      <c r="C52" s="201"/>
      <c r="D52" s="211"/>
      <c r="E52" s="206"/>
      <c r="F52" s="79"/>
      <c r="G52" s="200"/>
      <c r="H52" s="201"/>
      <c r="I52" s="211"/>
      <c r="J52" s="206"/>
      <c r="K52" s="79"/>
      <c r="L52" s="200"/>
      <c r="M52" s="201"/>
      <c r="N52" s="211"/>
      <c r="O52" s="206"/>
      <c r="P52" s="79"/>
      <c r="Q52" s="378"/>
    </row>
    <row r="53" spans="1:17" ht="15" customHeight="1" x14ac:dyDescent="0.25">
      <c r="A53" s="381" t="s">
        <v>148</v>
      </c>
      <c r="B53" s="209"/>
      <c r="C53" s="201"/>
      <c r="D53" s="211"/>
      <c r="E53" s="206"/>
      <c r="F53" s="79"/>
      <c r="G53" s="200"/>
      <c r="H53" s="201"/>
      <c r="I53" s="211"/>
      <c r="J53" s="206"/>
      <c r="K53" s="79"/>
      <c r="L53" s="200"/>
      <c r="M53" s="201"/>
      <c r="N53" s="211"/>
      <c r="O53" s="206"/>
      <c r="P53" s="79"/>
      <c r="Q53" s="378"/>
    </row>
    <row r="54" spans="1:17" ht="15" customHeight="1" x14ac:dyDescent="0.25">
      <c r="A54" s="381" t="s">
        <v>149</v>
      </c>
      <c r="B54" s="209"/>
      <c r="C54" s="201"/>
      <c r="D54" s="216"/>
      <c r="E54" s="206"/>
      <c r="F54" s="79"/>
      <c r="G54" s="200"/>
      <c r="H54" s="201"/>
      <c r="I54" s="216"/>
      <c r="J54" s="206"/>
      <c r="K54" s="79"/>
      <c r="L54" s="200"/>
      <c r="M54" s="201"/>
      <c r="N54" s="216"/>
      <c r="O54" s="206"/>
      <c r="P54" s="79"/>
      <c r="Q54" s="378"/>
    </row>
    <row r="55" spans="1:17" ht="15" customHeight="1" x14ac:dyDescent="0.25">
      <c r="A55" s="388" t="s">
        <v>150</v>
      </c>
      <c r="B55" s="209"/>
      <c r="C55" s="201"/>
      <c r="D55" s="211"/>
      <c r="E55" s="206"/>
      <c r="F55" s="79"/>
      <c r="G55" s="200"/>
      <c r="H55" s="201"/>
      <c r="I55" s="211"/>
      <c r="J55" s="206"/>
      <c r="K55" s="79"/>
      <c r="L55" s="200"/>
      <c r="M55" s="201"/>
      <c r="N55" s="211"/>
      <c r="O55" s="206"/>
      <c r="P55" s="79"/>
      <c r="Q55" s="378"/>
    </row>
    <row r="56" spans="1:17" ht="15" customHeight="1" x14ac:dyDescent="0.25">
      <c r="A56" s="388" t="s">
        <v>151</v>
      </c>
      <c r="B56" s="209"/>
      <c r="C56" s="201"/>
      <c r="D56" s="211"/>
      <c r="E56" s="206"/>
      <c r="F56" s="79"/>
      <c r="G56" s="200"/>
      <c r="H56" s="201"/>
      <c r="I56" s="211"/>
      <c r="J56" s="206"/>
      <c r="K56" s="79"/>
      <c r="L56" s="200"/>
      <c r="M56" s="201"/>
      <c r="N56" s="211"/>
      <c r="O56" s="206"/>
      <c r="P56" s="79"/>
      <c r="Q56" s="378"/>
    </row>
    <row r="57" spans="1:17" ht="15" customHeight="1" x14ac:dyDescent="0.25">
      <c r="A57" s="391" t="s">
        <v>152</v>
      </c>
      <c r="B57" s="209"/>
      <c r="C57" s="201"/>
      <c r="D57" s="211"/>
      <c r="E57" s="206"/>
      <c r="F57" s="79"/>
      <c r="G57" s="200"/>
      <c r="H57" s="201"/>
      <c r="I57" s="211"/>
      <c r="J57" s="206"/>
      <c r="K57" s="79"/>
      <c r="L57" s="200"/>
      <c r="M57" s="201"/>
      <c r="N57" s="211"/>
      <c r="O57" s="206"/>
      <c r="P57" s="79"/>
      <c r="Q57" s="378"/>
    </row>
    <row r="58" spans="1:17" ht="15" customHeight="1" x14ac:dyDescent="0.25">
      <c r="A58" s="393" t="s">
        <v>153</v>
      </c>
      <c r="B58" s="201"/>
      <c r="C58" s="201"/>
      <c r="D58" s="211"/>
      <c r="E58" s="206"/>
      <c r="F58" s="79"/>
      <c r="G58" s="200"/>
      <c r="H58" s="201"/>
      <c r="I58" s="211"/>
      <c r="J58" s="206"/>
      <c r="K58" s="79"/>
      <c r="L58" s="200"/>
      <c r="M58" s="201"/>
      <c r="N58" s="211"/>
      <c r="O58" s="206"/>
      <c r="P58" s="79"/>
      <c r="Q58" s="378"/>
    </row>
    <row r="59" spans="1:17" ht="15" customHeight="1" x14ac:dyDescent="0.25">
      <c r="A59" s="393" t="s">
        <v>832</v>
      </c>
      <c r="B59" s="201"/>
      <c r="C59" s="201"/>
      <c r="D59" s="211"/>
      <c r="E59" s="206"/>
      <c r="F59" s="79"/>
      <c r="G59" s="200"/>
      <c r="H59" s="201"/>
      <c r="I59" s="211"/>
      <c r="J59" s="206"/>
      <c r="K59" s="79"/>
      <c r="L59" s="200"/>
      <c r="M59" s="201"/>
      <c r="N59" s="211"/>
      <c r="O59" s="206"/>
      <c r="P59" s="79"/>
      <c r="Q59" s="378"/>
    </row>
    <row r="60" spans="1:17" ht="15" customHeight="1" x14ac:dyDescent="0.25">
      <c r="A60" s="391" t="s">
        <v>154</v>
      </c>
      <c r="B60" s="201"/>
      <c r="C60" s="201"/>
      <c r="D60" s="211"/>
      <c r="E60" s="206"/>
      <c r="F60" s="79"/>
      <c r="G60" s="200"/>
      <c r="H60" s="201"/>
      <c r="I60" s="211"/>
      <c r="J60" s="206"/>
      <c r="K60" s="79"/>
      <c r="L60" s="200"/>
      <c r="M60" s="201"/>
      <c r="N60" s="211"/>
      <c r="O60" s="206"/>
      <c r="P60" s="79"/>
      <c r="Q60" s="378"/>
    </row>
    <row r="61" spans="1:17" ht="15" customHeight="1" x14ac:dyDescent="0.25">
      <c r="A61" s="391" t="s">
        <v>155</v>
      </c>
      <c r="B61" s="201"/>
      <c r="C61" s="201"/>
      <c r="D61" s="211"/>
      <c r="E61" s="206"/>
      <c r="F61" s="79"/>
      <c r="G61" s="200"/>
      <c r="H61" s="201"/>
      <c r="I61" s="211"/>
      <c r="J61" s="206"/>
      <c r="K61" s="79"/>
      <c r="L61" s="200"/>
      <c r="M61" s="201"/>
      <c r="N61" s="211"/>
      <c r="O61" s="206"/>
      <c r="P61" s="79"/>
      <c r="Q61" s="378"/>
    </row>
    <row r="62" spans="1:17" ht="15" customHeight="1" x14ac:dyDescent="0.25">
      <c r="A62" s="391" t="s">
        <v>156</v>
      </c>
      <c r="B62" s="201"/>
      <c r="C62" s="201"/>
      <c r="D62" s="211"/>
      <c r="E62" s="206"/>
      <c r="F62" s="79"/>
      <c r="G62" s="200"/>
      <c r="H62" s="201"/>
      <c r="I62" s="211"/>
      <c r="J62" s="206"/>
      <c r="K62" s="79"/>
      <c r="L62" s="200"/>
      <c r="M62" s="201"/>
      <c r="N62" s="211"/>
      <c r="O62" s="206"/>
      <c r="P62" s="79"/>
      <c r="Q62" s="378"/>
    </row>
    <row r="63" spans="1:17" ht="13.8" x14ac:dyDescent="0.25">
      <c r="A63" s="386" t="s">
        <v>157</v>
      </c>
      <c r="B63" s="212"/>
      <c r="C63" s="200"/>
      <c r="D63" s="214">
        <f>SUM(D51:D62)</f>
        <v>0</v>
      </c>
      <c r="E63" s="204"/>
      <c r="F63" s="80"/>
      <c r="G63" s="218"/>
      <c r="H63" s="200"/>
      <c r="I63" s="214">
        <f>SUM(I51:I62)</f>
        <v>0</v>
      </c>
      <c r="J63" s="204"/>
      <c r="K63" s="80"/>
      <c r="L63" s="218"/>
      <c r="M63" s="200"/>
      <c r="N63" s="214">
        <f>SUM(N51:N62)</f>
        <v>0</v>
      </c>
      <c r="O63" s="204"/>
      <c r="P63" s="80"/>
      <c r="Q63" s="387"/>
    </row>
    <row r="64" spans="1:17" ht="8.1" customHeight="1" x14ac:dyDescent="0.25">
      <c r="A64" s="381"/>
      <c r="B64" s="209"/>
      <c r="C64" s="209"/>
      <c r="D64" s="216"/>
      <c r="E64" s="217"/>
      <c r="F64" s="79"/>
      <c r="G64" s="200"/>
      <c r="H64" s="209"/>
      <c r="I64" s="216"/>
      <c r="J64" s="217"/>
      <c r="K64" s="79"/>
      <c r="L64" s="200"/>
      <c r="M64" s="209"/>
      <c r="N64" s="216"/>
      <c r="O64" s="217"/>
      <c r="P64" s="79"/>
      <c r="Q64" s="378"/>
    </row>
    <row r="65" spans="1:17" ht="13.8" x14ac:dyDescent="0.25">
      <c r="A65" s="379" t="s">
        <v>70</v>
      </c>
      <c r="B65" s="220"/>
      <c r="C65" s="220"/>
      <c r="D65" s="214">
        <f>+D5+D39+D47+D63</f>
        <v>1</v>
      </c>
      <c r="E65" s="204"/>
      <c r="F65" s="80"/>
      <c r="G65" s="218"/>
      <c r="H65" s="220"/>
      <c r="I65" s="214">
        <f>+I5+I39+I47+I63</f>
        <v>1</v>
      </c>
      <c r="J65" s="204"/>
      <c r="K65" s="80"/>
      <c r="L65" s="218"/>
      <c r="M65" s="220"/>
      <c r="N65" s="214">
        <f>+N5+N39+N47+N63</f>
        <v>1</v>
      </c>
      <c r="O65" s="204"/>
      <c r="P65" s="80"/>
      <c r="Q65" s="387"/>
    </row>
    <row r="66" spans="1:17" ht="6.6" customHeight="1" x14ac:dyDescent="0.25">
      <c r="A66" s="381"/>
      <c r="B66" s="209"/>
      <c r="C66" s="209"/>
      <c r="D66" s="216"/>
      <c r="E66" s="217"/>
      <c r="F66" s="79"/>
      <c r="G66" s="200"/>
      <c r="H66" s="209"/>
      <c r="I66" s="216"/>
      <c r="J66" s="217"/>
      <c r="K66" s="79"/>
      <c r="L66" s="200"/>
      <c r="M66" s="209"/>
      <c r="N66" s="216"/>
      <c r="O66" s="217"/>
      <c r="P66" s="79"/>
      <c r="Q66" s="378"/>
    </row>
    <row r="67" spans="1:17" ht="15" customHeight="1" x14ac:dyDescent="0.25">
      <c r="A67" s="379" t="s">
        <v>158</v>
      </c>
      <c r="B67" s="220"/>
      <c r="C67" s="220"/>
      <c r="D67" s="221"/>
      <c r="E67" s="204"/>
      <c r="F67" s="80"/>
      <c r="G67" s="218"/>
      <c r="H67" s="220"/>
      <c r="I67" s="221"/>
      <c r="J67" s="204"/>
      <c r="K67" s="80"/>
      <c r="L67" s="218"/>
      <c r="M67" s="220"/>
      <c r="N67" s="221"/>
      <c r="O67" s="204"/>
      <c r="P67" s="80"/>
      <c r="Q67" s="387"/>
    </row>
    <row r="68" spans="1:17" ht="7.35" customHeight="1" x14ac:dyDescent="0.25">
      <c r="A68" s="381"/>
      <c r="B68" s="209"/>
      <c r="C68" s="209"/>
      <c r="D68" s="216"/>
      <c r="E68" s="206"/>
      <c r="F68" s="79"/>
      <c r="G68" s="200"/>
      <c r="H68" s="209"/>
      <c r="I68" s="216"/>
      <c r="J68" s="206"/>
      <c r="K68" s="79"/>
      <c r="L68" s="200"/>
      <c r="M68" s="209"/>
      <c r="N68" s="216"/>
      <c r="O68" s="206"/>
      <c r="P68" s="79"/>
      <c r="Q68" s="378"/>
    </row>
    <row r="69" spans="1:17" ht="15" customHeight="1" x14ac:dyDescent="0.25">
      <c r="A69" s="379" t="s">
        <v>351</v>
      </c>
      <c r="B69" s="220"/>
      <c r="C69" s="220"/>
      <c r="D69" s="221"/>
      <c r="E69" s="204"/>
      <c r="F69" s="80"/>
      <c r="G69" s="218"/>
      <c r="H69" s="220"/>
      <c r="I69" s="221"/>
      <c r="J69" s="204"/>
      <c r="K69" s="80"/>
      <c r="L69" s="218"/>
      <c r="M69" s="220"/>
      <c r="N69" s="221"/>
      <c r="O69" s="204"/>
      <c r="P69" s="80"/>
      <c r="Q69" s="387"/>
    </row>
    <row r="70" spans="1:17" ht="8.25" customHeight="1" thickBot="1" x14ac:dyDescent="0.3">
      <c r="A70" s="381"/>
      <c r="B70" s="209"/>
      <c r="C70" s="209"/>
      <c r="D70" s="216"/>
      <c r="E70" s="206"/>
      <c r="F70" s="79"/>
      <c r="G70" s="200"/>
      <c r="H70" s="209"/>
      <c r="I70" s="216"/>
      <c r="J70" s="206"/>
      <c r="K70" s="79"/>
      <c r="L70" s="200"/>
      <c r="M70" s="209"/>
      <c r="N70" s="216"/>
      <c r="O70" s="206"/>
      <c r="P70" s="79"/>
      <c r="Q70" s="378"/>
    </row>
    <row r="71" spans="1:17" ht="35.1" customHeight="1" thickBot="1" x14ac:dyDescent="0.3">
      <c r="A71" s="644" t="s">
        <v>71</v>
      </c>
      <c r="B71" s="645"/>
      <c r="C71" s="646"/>
      <c r="D71" s="223">
        <f>+D65+D67+D69-D5</f>
        <v>0</v>
      </c>
      <c r="E71" s="224"/>
      <c r="F71" s="81">
        <f>+D71*$F$5</f>
        <v>0</v>
      </c>
      <c r="G71" s="218"/>
      <c r="H71" s="222"/>
      <c r="I71" s="223">
        <f>+I65+I67+I69-I5</f>
        <v>0</v>
      </c>
      <c r="J71" s="224"/>
      <c r="K71" s="81">
        <f>+I71*$K$5</f>
        <v>0</v>
      </c>
      <c r="L71" s="218"/>
      <c r="M71" s="222"/>
      <c r="N71" s="223">
        <f>+N65+N67+N69-N5</f>
        <v>0</v>
      </c>
      <c r="O71" s="224"/>
      <c r="P71" s="81">
        <f>+N71*$P$5</f>
        <v>0</v>
      </c>
      <c r="Q71" s="387"/>
    </row>
    <row r="72" spans="1:17" ht="33" customHeight="1" thickBot="1" x14ac:dyDescent="0.3">
      <c r="A72" s="647" t="s">
        <v>72</v>
      </c>
      <c r="B72" s="648"/>
      <c r="C72" s="222"/>
      <c r="D72" s="223">
        <f>+D71+D5</f>
        <v>1</v>
      </c>
      <c r="E72" s="224"/>
      <c r="F72" s="394">
        <f>+D72*$F$5</f>
        <v>0</v>
      </c>
      <c r="G72" s="218"/>
      <c r="H72" s="222"/>
      <c r="I72" s="223">
        <f>+I71+I5</f>
        <v>1</v>
      </c>
      <c r="J72" s="224"/>
      <c r="K72" s="394">
        <f>+I72*$K$5</f>
        <v>0</v>
      </c>
      <c r="L72" s="218"/>
      <c r="M72" s="222"/>
      <c r="N72" s="223">
        <f>+N71+N5</f>
        <v>1</v>
      </c>
      <c r="O72" s="224"/>
      <c r="P72" s="394">
        <f>+N72*$P$5</f>
        <v>0</v>
      </c>
      <c r="Q72" s="387"/>
    </row>
    <row r="73" spans="1:17" x14ac:dyDescent="0.25">
      <c r="A73" s="395"/>
      <c r="B73" s="196"/>
      <c r="C73" s="196"/>
      <c r="D73" s="225"/>
      <c r="E73" s="196"/>
      <c r="F73" s="196"/>
      <c r="G73" s="196"/>
      <c r="H73" s="196"/>
      <c r="I73" s="225"/>
      <c r="J73" s="196"/>
      <c r="K73" s="196"/>
      <c r="L73" s="196"/>
      <c r="M73" s="196"/>
      <c r="N73" s="225"/>
      <c r="O73" s="196"/>
      <c r="P73" s="196"/>
      <c r="Q73" s="371"/>
    </row>
    <row r="74" spans="1:17" ht="23.1" customHeight="1" x14ac:dyDescent="0.25">
      <c r="A74" s="200"/>
      <c r="B74" s="200"/>
      <c r="C74" s="200"/>
      <c r="D74" s="396"/>
      <c r="E74" s="226" t="s">
        <v>73</v>
      </c>
      <c r="F74" s="397">
        <f>D6</f>
        <v>0</v>
      </c>
      <c r="G74" s="200"/>
      <c r="H74" s="200"/>
      <c r="I74" s="200"/>
      <c r="J74" s="200"/>
      <c r="K74" s="200"/>
      <c r="L74" s="200"/>
      <c r="M74" s="649" t="s">
        <v>3</v>
      </c>
      <c r="N74" s="632">
        <f>Basisdaten!E5</f>
        <v>0</v>
      </c>
      <c r="O74" s="632"/>
      <c r="P74" s="632"/>
      <c r="Q74" s="378"/>
    </row>
    <row r="75" spans="1:17" ht="23.1" customHeight="1" x14ac:dyDescent="0.25">
      <c r="A75" s="200"/>
      <c r="B75" s="200"/>
      <c r="C75" s="200"/>
      <c r="D75" s="396"/>
      <c r="E75" s="226" t="s">
        <v>352</v>
      </c>
      <c r="F75" s="397">
        <f>I6</f>
        <v>0</v>
      </c>
      <c r="G75" s="200"/>
      <c r="H75" s="200"/>
      <c r="I75" s="200"/>
      <c r="J75" s="200"/>
      <c r="K75" s="200"/>
      <c r="L75" s="200"/>
      <c r="M75" s="649"/>
      <c r="N75" s="632"/>
      <c r="O75" s="632"/>
      <c r="P75" s="632"/>
      <c r="Q75" s="378"/>
    </row>
    <row r="76" spans="1:17" ht="23.55" customHeight="1" x14ac:dyDescent="0.25">
      <c r="A76" s="200"/>
      <c r="B76" s="200"/>
      <c r="C76" s="200"/>
      <c r="D76" s="396"/>
      <c r="E76" s="226" t="s">
        <v>353</v>
      </c>
      <c r="F76" s="397">
        <f>N6</f>
        <v>0</v>
      </c>
      <c r="G76" s="200"/>
      <c r="H76" s="200"/>
      <c r="I76" s="200"/>
      <c r="J76" s="200"/>
      <c r="K76" s="200"/>
      <c r="L76" s="200"/>
      <c r="M76" s="649"/>
      <c r="N76" s="650"/>
      <c r="O76" s="650"/>
      <c r="P76" s="650"/>
      <c r="Q76" s="378"/>
    </row>
    <row r="77" spans="1:17" ht="32.549999999999997" customHeight="1" x14ac:dyDescent="0.25">
      <c r="A77" s="200"/>
      <c r="B77" s="200"/>
      <c r="C77" s="200"/>
      <c r="D77" s="396"/>
      <c r="E77" s="226" t="s">
        <v>159</v>
      </c>
      <c r="F77" s="398">
        <f>ROUND(+F74*F72+F75*K72+F76*P72,2)</f>
        <v>0</v>
      </c>
      <c r="G77" s="200"/>
      <c r="H77" s="227"/>
      <c r="I77" s="399"/>
      <c r="J77" s="399"/>
      <c r="L77" s="200"/>
      <c r="M77" s="227" t="s">
        <v>1</v>
      </c>
      <c r="N77" s="638">
        <f>Basisdaten!E3</f>
        <v>0</v>
      </c>
      <c r="O77" s="638"/>
      <c r="Q77" s="378"/>
    </row>
    <row r="78" spans="1:17" ht="27.75" customHeight="1" x14ac:dyDescent="0.25">
      <c r="A78" s="200"/>
      <c r="B78" s="200"/>
      <c r="C78" s="200"/>
      <c r="D78" s="396"/>
      <c r="E78" s="226" t="s">
        <v>354</v>
      </c>
      <c r="F78" s="400">
        <f>((D5+D39)/D72)*F74+((I5+I39)/I72)*F75+((N5+N39)/N72)*F76</f>
        <v>0</v>
      </c>
      <c r="G78" s="200"/>
      <c r="H78" s="200"/>
      <c r="I78" s="200"/>
      <c r="J78" s="200"/>
      <c r="K78" s="200"/>
      <c r="L78" s="200"/>
      <c r="M78" s="200"/>
      <c r="N78" s="200"/>
      <c r="O78" s="200"/>
      <c r="P78" s="200"/>
      <c r="Q78" s="378"/>
    </row>
    <row r="79" spans="1:17" ht="9" customHeight="1" thickBot="1" x14ac:dyDescent="0.3">
      <c r="A79" s="401"/>
      <c r="B79" s="401"/>
      <c r="C79" s="401"/>
      <c r="D79" s="401"/>
      <c r="E79" s="401"/>
      <c r="F79" s="401"/>
      <c r="G79" s="401"/>
      <c r="H79" s="401"/>
      <c r="I79" s="401"/>
      <c r="J79" s="401"/>
      <c r="K79" s="401"/>
      <c r="L79" s="401"/>
      <c r="M79" s="401"/>
      <c r="N79" s="401"/>
      <c r="O79" s="401"/>
      <c r="P79" s="401"/>
      <c r="Q79" s="402"/>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B3C0F-8547-4141-A885-D16EEE4F07B2}">
  <sheetPr codeName="Tabelle12">
    <tabColor rgb="FF0070C0"/>
    <pageSetUpPr fitToPage="1"/>
  </sheetPr>
  <dimension ref="A1:AZ366"/>
  <sheetViews>
    <sheetView zoomScale="80" zoomScaleNormal="80" zoomScaleSheetLayoutView="80" zoomScalePageLayoutView="60" workbookViewId="0">
      <selection activeCell="C4" sqref="C4"/>
    </sheetView>
  </sheetViews>
  <sheetFormatPr baseColWidth="10" defaultColWidth="11.44140625" defaultRowHeight="12.6" x14ac:dyDescent="0.2"/>
  <cols>
    <col min="1" max="1" width="17.21875" style="52" customWidth="1"/>
    <col min="2" max="2" width="9.21875" style="59" customWidth="1"/>
    <col min="3" max="3" width="9.33203125" style="59" customWidth="1"/>
    <col min="4" max="4" width="26.77734375" style="59" customWidth="1"/>
    <col min="5" max="5" width="18.109375" style="52" customWidth="1"/>
    <col min="6" max="6" width="14.33203125" style="52" customWidth="1"/>
    <col min="7" max="7" width="16.77734375" style="59" customWidth="1"/>
    <col min="8" max="8" width="9.77734375" style="58" customWidth="1"/>
    <col min="9" max="9" width="10.6640625" style="101" customWidth="1"/>
    <col min="10" max="10" width="19.5546875" style="101" customWidth="1"/>
    <col min="11" max="11" width="13.77734375" style="58" bestFit="1" customWidth="1"/>
    <col min="12" max="12" width="12.88671875" style="58" customWidth="1"/>
    <col min="13" max="13" width="15.5546875" style="105" customWidth="1"/>
    <col min="14" max="14" width="11.109375" style="106" customWidth="1"/>
    <col min="15" max="15" width="14.77734375" style="107" customWidth="1"/>
    <col min="16" max="16" width="17.77734375" style="107" customWidth="1"/>
    <col min="17" max="17" width="2.44140625" style="577" customWidth="1"/>
    <col min="18" max="18" width="13.88671875" style="52" hidden="1" customWidth="1"/>
    <col min="19" max="49" width="3.77734375" style="52" hidden="1" customWidth="1"/>
    <col min="50" max="50" width="9.109375" style="52" hidden="1" customWidth="1"/>
    <col min="51" max="51" width="11.33203125" style="52" hidden="1" customWidth="1"/>
    <col min="52" max="52" width="15.33203125" style="52" hidden="1" customWidth="1"/>
    <col min="53" max="16384" width="11.44140625" style="52"/>
  </cols>
  <sheetData>
    <row r="1" spans="1:52" ht="25.8" customHeight="1" x14ac:dyDescent="0.2">
      <c r="A1" s="651" t="s">
        <v>360</v>
      </c>
      <c r="B1" s="651"/>
      <c r="C1" s="651"/>
      <c r="D1" s="651"/>
      <c r="E1" s="651"/>
      <c r="F1" s="651"/>
      <c r="G1" s="651"/>
      <c r="H1" s="651"/>
      <c r="I1" s="651"/>
      <c r="J1" s="651"/>
      <c r="K1" s="651"/>
      <c r="L1" s="651"/>
      <c r="M1" s="651"/>
      <c r="N1" s="651"/>
      <c r="O1" s="651"/>
      <c r="P1" s="651"/>
      <c r="Q1" s="573"/>
      <c r="R1" s="51"/>
    </row>
    <row r="2" spans="1:52" s="53" customFormat="1" ht="22.8" customHeight="1" x14ac:dyDescent="0.3">
      <c r="A2" s="82" t="s">
        <v>2</v>
      </c>
      <c r="B2" s="83" t="str">
        <f>Basisdaten!B5</f>
        <v>Gemeinde Oberhaching</v>
      </c>
      <c r="C2" s="83"/>
      <c r="E2" s="429" t="s">
        <v>0</v>
      </c>
      <c r="H2" s="86" t="s">
        <v>3</v>
      </c>
      <c r="I2" s="87">
        <f>Basisdaten!E5</f>
        <v>0</v>
      </c>
      <c r="J2" s="88"/>
      <c r="K2" s="89"/>
      <c r="L2" s="170"/>
      <c r="M2" s="90"/>
      <c r="N2" s="91"/>
      <c r="O2" s="86" t="s">
        <v>1</v>
      </c>
      <c r="P2" s="327">
        <f>Basisdaten!E3</f>
        <v>0</v>
      </c>
      <c r="Q2" s="573"/>
    </row>
    <row r="3" spans="1:52" s="53" customFormat="1" ht="27" customHeight="1" x14ac:dyDescent="0.3">
      <c r="A3" s="85" t="s">
        <v>4</v>
      </c>
      <c r="B3" s="83" t="s">
        <v>74</v>
      </c>
      <c r="C3" s="83"/>
      <c r="D3" s="423"/>
      <c r="E3" s="653" t="s">
        <v>989</v>
      </c>
      <c r="F3" s="653"/>
      <c r="G3" s="653"/>
      <c r="H3" s="653"/>
      <c r="I3" s="653"/>
      <c r="J3" s="653"/>
      <c r="K3" s="653"/>
      <c r="M3" s="410" t="s">
        <v>358</v>
      </c>
      <c r="N3" s="411">
        <f>'SVS UHR'!F77</f>
        <v>0</v>
      </c>
      <c r="O3" s="92"/>
      <c r="P3" s="93"/>
      <c r="Q3" s="573"/>
    </row>
    <row r="4" spans="1:52" s="53" customFormat="1" ht="35.4" customHeight="1" x14ac:dyDescent="0.3">
      <c r="D4" s="91"/>
      <c r="E4" s="653"/>
      <c r="F4" s="653"/>
      <c r="G4" s="653"/>
      <c r="H4" s="653"/>
      <c r="I4" s="653"/>
      <c r="J4" s="653"/>
      <c r="K4" s="653"/>
      <c r="M4" s="593"/>
      <c r="N4" s="91"/>
      <c r="O4" s="91"/>
      <c r="P4" s="93"/>
      <c r="Q4" s="573"/>
    </row>
    <row r="5" spans="1:52" s="146" customFormat="1" ht="22.8" customHeight="1" x14ac:dyDescent="0.3">
      <c r="A5" s="236"/>
      <c r="B5" s="236"/>
      <c r="C5" s="236"/>
      <c r="D5" s="236"/>
      <c r="E5" s="310"/>
      <c r="F5" s="311" t="s">
        <v>945</v>
      </c>
      <c r="G5" s="147">
        <f>SUBTOTAL(9,G8:G251)</f>
        <v>9930.6600000000035</v>
      </c>
      <c r="H5" s="600" t="s">
        <v>1008</v>
      </c>
      <c r="I5" s="148"/>
      <c r="J5" s="147">
        <f>SUBTOTAL(9,J8:J251)</f>
        <v>1534156.2046428574</v>
      </c>
      <c r="K5" s="500">
        <f>IF(ISERROR(J5/M5),0,(J5/M5))</f>
        <v>0</v>
      </c>
      <c r="L5" s="231">
        <f>SUBTOTAL(9,L8:L252)</f>
        <v>0</v>
      </c>
      <c r="M5" s="596">
        <f>SUBTOTAL(9,M8:M252)</f>
        <v>0</v>
      </c>
      <c r="N5" s="236"/>
      <c r="O5" s="236"/>
      <c r="P5" s="150">
        <f>SUBTOTAL(9,P8:P251)</f>
        <v>0</v>
      </c>
      <c r="Q5" s="574"/>
      <c r="S5" s="652" t="s">
        <v>848</v>
      </c>
      <c r="T5" s="652"/>
      <c r="U5" s="652"/>
      <c r="V5" s="652"/>
      <c r="W5" s="652"/>
      <c r="X5" s="652"/>
      <c r="Y5" s="652"/>
      <c r="Z5" s="652"/>
      <c r="AA5" s="652"/>
      <c r="AB5" s="652"/>
      <c r="AC5" s="652"/>
      <c r="AD5" s="652"/>
      <c r="AE5" s="652"/>
      <c r="AF5" s="652"/>
      <c r="AG5" s="652"/>
      <c r="AH5" s="652"/>
      <c r="AI5" s="652"/>
      <c r="AJ5" s="652"/>
      <c r="AK5" s="652"/>
      <c r="AL5" s="652"/>
      <c r="AM5" s="652"/>
      <c r="AN5" s="652"/>
      <c r="AO5" s="652"/>
      <c r="AP5" s="652"/>
      <c r="AQ5" s="652"/>
      <c r="AR5" s="652"/>
      <c r="AS5" s="652"/>
      <c r="AT5" s="652"/>
      <c r="AU5" s="652"/>
      <c r="AV5" s="652"/>
      <c r="AW5" s="652"/>
      <c r="AX5" s="652"/>
      <c r="AY5" s="652"/>
      <c r="AZ5" s="652"/>
    </row>
    <row r="6" spans="1:52" s="146" customFormat="1" ht="64.2" customHeight="1" x14ac:dyDescent="0.3">
      <c r="A6" s="301"/>
      <c r="B6" s="301"/>
      <c r="C6" s="301"/>
      <c r="D6" s="301"/>
      <c r="E6" s="236"/>
      <c r="F6" s="233" t="s">
        <v>243</v>
      </c>
      <c r="G6" s="151">
        <f>SUM(G$8:G$251)</f>
        <v>9930.6600000000035</v>
      </c>
      <c r="H6" s="154"/>
      <c r="I6" s="154"/>
      <c r="J6" s="151">
        <f>SUM(J$8:J$251)</f>
        <v>1534156.2046428574</v>
      </c>
      <c r="K6" s="152">
        <f>IF(ISERROR(J6/M6),0,(J6/M6))</f>
        <v>0</v>
      </c>
      <c r="L6" s="232">
        <f>SUM(L$8:L$251)</f>
        <v>0</v>
      </c>
      <c r="M6" s="232">
        <f>SUM(M$8:M$251)</f>
        <v>0</v>
      </c>
      <c r="N6" s="301"/>
      <c r="O6" s="301"/>
      <c r="P6" s="153">
        <f>SUM(P$8:P$251)</f>
        <v>0</v>
      </c>
      <c r="Q6" s="574"/>
      <c r="R6" s="473" t="s">
        <v>857</v>
      </c>
      <c r="S6" s="474">
        <v>46266</v>
      </c>
      <c r="T6" s="475">
        <f>S6+1</f>
        <v>46267</v>
      </c>
      <c r="U6" s="475">
        <f t="shared" ref="U6:AW6" si="0">T6+1</f>
        <v>46268</v>
      </c>
      <c r="V6" s="475">
        <f t="shared" si="0"/>
        <v>46269</v>
      </c>
      <c r="W6" s="475">
        <f t="shared" si="0"/>
        <v>46270</v>
      </c>
      <c r="X6" s="475">
        <f t="shared" si="0"/>
        <v>46271</v>
      </c>
      <c r="Y6" s="475">
        <f t="shared" si="0"/>
        <v>46272</v>
      </c>
      <c r="Z6" s="475">
        <f t="shared" si="0"/>
        <v>46273</v>
      </c>
      <c r="AA6" s="475">
        <f t="shared" si="0"/>
        <v>46274</v>
      </c>
      <c r="AB6" s="475">
        <f t="shared" si="0"/>
        <v>46275</v>
      </c>
      <c r="AC6" s="475">
        <f t="shared" si="0"/>
        <v>46276</v>
      </c>
      <c r="AD6" s="475">
        <f t="shared" si="0"/>
        <v>46277</v>
      </c>
      <c r="AE6" s="475">
        <f t="shared" si="0"/>
        <v>46278</v>
      </c>
      <c r="AF6" s="475">
        <f t="shared" si="0"/>
        <v>46279</v>
      </c>
      <c r="AG6" s="475">
        <f t="shared" si="0"/>
        <v>46280</v>
      </c>
      <c r="AH6" s="475">
        <f t="shared" si="0"/>
        <v>46281</v>
      </c>
      <c r="AI6" s="475">
        <f t="shared" si="0"/>
        <v>46282</v>
      </c>
      <c r="AJ6" s="475">
        <f t="shared" si="0"/>
        <v>46283</v>
      </c>
      <c r="AK6" s="475">
        <f t="shared" si="0"/>
        <v>46284</v>
      </c>
      <c r="AL6" s="475">
        <f t="shared" si="0"/>
        <v>46285</v>
      </c>
      <c r="AM6" s="475">
        <f t="shared" si="0"/>
        <v>46286</v>
      </c>
      <c r="AN6" s="475">
        <f t="shared" si="0"/>
        <v>46287</v>
      </c>
      <c r="AO6" s="475">
        <f t="shared" si="0"/>
        <v>46288</v>
      </c>
      <c r="AP6" s="475">
        <f t="shared" si="0"/>
        <v>46289</v>
      </c>
      <c r="AQ6" s="475">
        <f t="shared" si="0"/>
        <v>46290</v>
      </c>
      <c r="AR6" s="475">
        <f t="shared" si="0"/>
        <v>46291</v>
      </c>
      <c r="AS6" s="475">
        <f t="shared" si="0"/>
        <v>46292</v>
      </c>
      <c r="AT6" s="475">
        <f t="shared" si="0"/>
        <v>46293</v>
      </c>
      <c r="AU6" s="475">
        <f t="shared" si="0"/>
        <v>46294</v>
      </c>
      <c r="AV6" s="475">
        <f t="shared" si="0"/>
        <v>46295</v>
      </c>
      <c r="AW6" s="475">
        <f t="shared" si="0"/>
        <v>46296</v>
      </c>
      <c r="AX6" s="479"/>
      <c r="AY6" s="479"/>
      <c r="AZ6" s="480"/>
    </row>
    <row r="7" spans="1:52" s="56" customFormat="1" ht="60" customHeight="1" x14ac:dyDescent="0.25">
      <c r="A7" s="54" t="s">
        <v>272</v>
      </c>
      <c r="B7" s="54" t="s">
        <v>250</v>
      </c>
      <c r="C7" s="54" t="s">
        <v>101</v>
      </c>
      <c r="D7" s="54" t="s">
        <v>103</v>
      </c>
      <c r="E7" s="54" t="s">
        <v>163</v>
      </c>
      <c r="F7" s="54" t="s">
        <v>57</v>
      </c>
      <c r="G7" s="55" t="s">
        <v>100</v>
      </c>
      <c r="H7" s="55" t="s">
        <v>59</v>
      </c>
      <c r="I7" s="55" t="s">
        <v>75</v>
      </c>
      <c r="J7" s="55" t="s">
        <v>76</v>
      </c>
      <c r="K7" s="94" t="s">
        <v>77</v>
      </c>
      <c r="L7" s="95" t="s">
        <v>856</v>
      </c>
      <c r="M7" s="95" t="s">
        <v>78</v>
      </c>
      <c r="N7" s="96" t="s">
        <v>79</v>
      </c>
      <c r="O7" s="96" t="s">
        <v>861</v>
      </c>
      <c r="P7" s="96" t="s">
        <v>81</v>
      </c>
      <c r="Q7" s="575"/>
      <c r="R7" s="472"/>
      <c r="S7" s="476" t="str">
        <f>TEXT(S6,"TTTT")</f>
        <v>Dienstag</v>
      </c>
      <c r="T7" s="477" t="str">
        <f t="shared" ref="T7:AW7" si="1">TEXT(T6,"TTTT")</f>
        <v>Mittwoch</v>
      </c>
      <c r="U7" s="477" t="str">
        <f t="shared" si="1"/>
        <v>Donnerstag</v>
      </c>
      <c r="V7" s="477" t="str">
        <f t="shared" si="1"/>
        <v>Freitag</v>
      </c>
      <c r="W7" s="477" t="str">
        <f t="shared" si="1"/>
        <v>Samstag</v>
      </c>
      <c r="X7" s="477" t="str">
        <f t="shared" si="1"/>
        <v>Sonntag</v>
      </c>
      <c r="Y7" s="477" t="str">
        <f t="shared" si="1"/>
        <v>Montag</v>
      </c>
      <c r="Z7" s="477" t="str">
        <f t="shared" si="1"/>
        <v>Dienstag</v>
      </c>
      <c r="AA7" s="477" t="str">
        <f t="shared" si="1"/>
        <v>Mittwoch</v>
      </c>
      <c r="AB7" s="477" t="str">
        <f t="shared" si="1"/>
        <v>Donnerstag</v>
      </c>
      <c r="AC7" s="477" t="str">
        <f t="shared" si="1"/>
        <v>Freitag</v>
      </c>
      <c r="AD7" s="477" t="str">
        <f t="shared" si="1"/>
        <v>Samstag</v>
      </c>
      <c r="AE7" s="477" t="str">
        <f t="shared" si="1"/>
        <v>Sonntag</v>
      </c>
      <c r="AF7" s="477" t="str">
        <f t="shared" si="1"/>
        <v>Montag</v>
      </c>
      <c r="AG7" s="477" t="str">
        <f t="shared" si="1"/>
        <v>Dienstag</v>
      </c>
      <c r="AH7" s="477" t="str">
        <f t="shared" si="1"/>
        <v>Mittwoch</v>
      </c>
      <c r="AI7" s="477" t="str">
        <f t="shared" si="1"/>
        <v>Donnerstag</v>
      </c>
      <c r="AJ7" s="477" t="str">
        <f t="shared" si="1"/>
        <v>Freitag</v>
      </c>
      <c r="AK7" s="477" t="str">
        <f t="shared" si="1"/>
        <v>Samstag</v>
      </c>
      <c r="AL7" s="477" t="str">
        <f t="shared" si="1"/>
        <v>Sonntag</v>
      </c>
      <c r="AM7" s="477" t="str">
        <f t="shared" si="1"/>
        <v>Montag</v>
      </c>
      <c r="AN7" s="477" t="str">
        <f t="shared" si="1"/>
        <v>Dienstag</v>
      </c>
      <c r="AO7" s="477" t="str">
        <f t="shared" si="1"/>
        <v>Mittwoch</v>
      </c>
      <c r="AP7" s="477" t="str">
        <f t="shared" si="1"/>
        <v>Donnerstag</v>
      </c>
      <c r="AQ7" s="477" t="str">
        <f t="shared" si="1"/>
        <v>Freitag</v>
      </c>
      <c r="AR7" s="477" t="str">
        <f t="shared" si="1"/>
        <v>Samstag</v>
      </c>
      <c r="AS7" s="477" t="str">
        <f t="shared" si="1"/>
        <v>Sonntag</v>
      </c>
      <c r="AT7" s="477" t="str">
        <f t="shared" si="1"/>
        <v>Montag</v>
      </c>
      <c r="AU7" s="477" t="str">
        <f t="shared" si="1"/>
        <v>Dienstag</v>
      </c>
      <c r="AV7" s="477" t="str">
        <f t="shared" si="1"/>
        <v>Mittwoch</v>
      </c>
      <c r="AW7" s="478" t="str">
        <f t="shared" si="1"/>
        <v>Donnerstag</v>
      </c>
      <c r="AX7" s="479" t="s">
        <v>846</v>
      </c>
      <c r="AY7" s="479" t="s">
        <v>978</v>
      </c>
      <c r="AZ7" s="480" t="s">
        <v>847</v>
      </c>
    </row>
    <row r="8" spans="1:52" s="57" customFormat="1" ht="24.9" customHeight="1" x14ac:dyDescent="0.25">
      <c r="A8" s="425" t="s">
        <v>361</v>
      </c>
      <c r="B8" s="303" t="s">
        <v>364</v>
      </c>
      <c r="C8" s="97" t="s">
        <v>365</v>
      </c>
      <c r="D8" s="145" t="s">
        <v>252</v>
      </c>
      <c r="E8" s="230" t="s">
        <v>253</v>
      </c>
      <c r="F8" s="414" t="s">
        <v>901</v>
      </c>
      <c r="G8" s="127">
        <v>12.05</v>
      </c>
      <c r="H8" s="303" t="str">
        <f>VLOOKUP($F8,'Leistungswerte UHR Schulen'!$C$6:$F$38,3,FALSE)</f>
        <v>W3</v>
      </c>
      <c r="I8" s="328">
        <f>VLOOKUP(H8,Turnus!$D$9:$E$26,2,FALSE)</f>
        <v>114.53571428571426</v>
      </c>
      <c r="J8" s="127">
        <f t="shared" ref="J8" si="2">+G8*I8</f>
        <v>1380.1553571428569</v>
      </c>
      <c r="K8" s="128">
        <f>VLOOKUP($F8,'Leistungswerte UHR Schulen'!$C$6:$F$38,4,FALSE)</f>
        <v>0</v>
      </c>
      <c r="L8" s="496" t="str">
        <f>IFERROR(G8/K8,"")</f>
        <v/>
      </c>
      <c r="M8" s="129">
        <f t="shared" ref="M8" si="3">IF(ISERROR(J8/K8),0,J8/K8)</f>
        <v>0</v>
      </c>
      <c r="N8" s="547">
        <f t="shared" ref="N8:N81" si="4">N$3</f>
        <v>0</v>
      </c>
      <c r="O8" s="130">
        <f t="shared" ref="O8" si="5">IF(ISERROR(G8/K8*N8),0,G8/K8*N8)</f>
        <v>0</v>
      </c>
      <c r="P8" s="131">
        <f t="shared" ref="P8:P71" si="6">+M8*N8</f>
        <v>0</v>
      </c>
      <c r="Q8" s="578">
        <f>IF(A8="Schule",1,IF(A8="Sporthalle",1,2))</f>
        <v>1</v>
      </c>
      <c r="R8" s="587"/>
      <c r="S8" s="482"/>
      <c r="T8" s="482"/>
      <c r="U8" s="482"/>
      <c r="V8" s="482"/>
      <c r="W8" s="482"/>
      <c r="X8" s="482"/>
      <c r="Y8" s="482"/>
      <c r="Z8" s="482"/>
      <c r="AA8" s="482"/>
      <c r="AB8" s="482"/>
      <c r="AC8" s="482"/>
      <c r="AD8" s="482"/>
      <c r="AE8" s="482"/>
      <c r="AF8" s="482"/>
      <c r="AG8" s="482"/>
      <c r="AH8" s="482"/>
      <c r="AI8" s="482"/>
      <c r="AJ8" s="482"/>
      <c r="AK8" s="482"/>
      <c r="AL8" s="482"/>
      <c r="AM8" s="482"/>
      <c r="AN8" s="482"/>
      <c r="AO8" s="482"/>
      <c r="AP8" s="482"/>
      <c r="AQ8" s="482"/>
      <c r="AR8" s="482"/>
      <c r="AS8" s="482"/>
      <c r="AT8" s="482"/>
      <c r="AU8" s="482"/>
      <c r="AV8" s="482"/>
      <c r="AW8" s="483"/>
      <c r="AX8" s="484">
        <f>SUM(S8:AW8)</f>
        <v>0</v>
      </c>
      <c r="AY8" s="501" t="str">
        <f t="shared" ref="AY8:AY71" si="7">IFERROR(L8*AX8,"")</f>
        <v/>
      </c>
      <c r="AZ8" s="488">
        <f t="shared" ref="AZ8:AZ71" si="8">AX8*O8</f>
        <v>0</v>
      </c>
    </row>
    <row r="9" spans="1:52" s="57" customFormat="1" ht="24.9" customHeight="1" x14ac:dyDescent="0.25">
      <c r="A9" s="425" t="s">
        <v>361</v>
      </c>
      <c r="B9" s="97" t="s">
        <v>364</v>
      </c>
      <c r="C9" s="97" t="s">
        <v>411</v>
      </c>
      <c r="D9" s="145" t="s">
        <v>102</v>
      </c>
      <c r="E9" s="230" t="s">
        <v>253</v>
      </c>
      <c r="F9" s="414" t="s">
        <v>676</v>
      </c>
      <c r="G9" s="127">
        <v>65.31</v>
      </c>
      <c r="H9" s="303" t="str">
        <f>VLOOKUP($F9,'Leistungswerte UHR Schulen'!$C$6:$F$38,3,FALSE)</f>
        <v>W5</v>
      </c>
      <c r="I9" s="328">
        <f>VLOOKUP(H9,Turnus!$D$9:$E$26,2,FALSE)</f>
        <v>188.46428571428572</v>
      </c>
      <c r="J9" s="127">
        <f>+G9*I9</f>
        <v>12308.602500000001</v>
      </c>
      <c r="K9" s="128">
        <f>VLOOKUP($F9,'Leistungswerte UHR Schulen'!$C$6:$F$38,4,FALSE)</f>
        <v>0</v>
      </c>
      <c r="L9" s="496" t="str">
        <f t="shared" ref="L9:L73" si="9">IFERROR(G9/K9,"")</f>
        <v/>
      </c>
      <c r="M9" s="129">
        <f>IF(ISERROR(J9/K9),0,J9/K9)</f>
        <v>0</v>
      </c>
      <c r="N9" s="547">
        <f t="shared" si="4"/>
        <v>0</v>
      </c>
      <c r="O9" s="130">
        <f>IF(ISERROR(G9/K9*N9),0,G9/K9*N9)</f>
        <v>0</v>
      </c>
      <c r="P9" s="131">
        <f t="shared" si="6"/>
        <v>0</v>
      </c>
      <c r="Q9" s="578">
        <f t="shared" ref="Q9:Q72" si="10">IF(A9="Schule",1,IF(A9="Sporthalle",1,2))</f>
        <v>1</v>
      </c>
      <c r="R9" s="587"/>
      <c r="S9" s="482"/>
      <c r="T9" s="482"/>
      <c r="U9" s="482"/>
      <c r="V9" s="482"/>
      <c r="W9" s="482"/>
      <c r="X9" s="482"/>
      <c r="Y9" s="482"/>
      <c r="Z9" s="482"/>
      <c r="AA9" s="482"/>
      <c r="AB9" s="482"/>
      <c r="AC9" s="482"/>
      <c r="AD9" s="482"/>
      <c r="AE9" s="482"/>
      <c r="AF9" s="482"/>
      <c r="AG9" s="482"/>
      <c r="AH9" s="482"/>
      <c r="AI9" s="482"/>
      <c r="AJ9" s="482"/>
      <c r="AK9" s="482"/>
      <c r="AL9" s="482"/>
      <c r="AM9" s="482"/>
      <c r="AN9" s="482"/>
      <c r="AO9" s="482"/>
      <c r="AP9" s="482"/>
      <c r="AQ9" s="482"/>
      <c r="AR9" s="482"/>
      <c r="AS9" s="482"/>
      <c r="AT9" s="482"/>
      <c r="AU9" s="482"/>
      <c r="AV9" s="482"/>
      <c r="AW9" s="483"/>
      <c r="AX9" s="484">
        <f t="shared" ref="AX9:AX73" si="11">SUM(S9:AW9)</f>
        <v>0</v>
      </c>
      <c r="AY9" s="501" t="str">
        <f t="shared" si="7"/>
        <v/>
      </c>
      <c r="AZ9" s="488">
        <f t="shared" si="8"/>
        <v>0</v>
      </c>
    </row>
    <row r="10" spans="1:52" s="57" customFormat="1" ht="24.9" customHeight="1" x14ac:dyDescent="0.25">
      <c r="A10" s="425" t="s">
        <v>361</v>
      </c>
      <c r="B10" s="97" t="s">
        <v>364</v>
      </c>
      <c r="C10" s="97" t="s">
        <v>419</v>
      </c>
      <c r="D10" s="145" t="s">
        <v>266</v>
      </c>
      <c r="E10" s="230" t="s">
        <v>619</v>
      </c>
      <c r="F10" s="414" t="s">
        <v>674</v>
      </c>
      <c r="G10" s="127">
        <v>20.34</v>
      </c>
      <c r="H10" s="303" t="str">
        <f>VLOOKUP($F10,'Leistungswerte UHR Schulen'!$C$6:$F$38,3,FALSE)</f>
        <v>W5</v>
      </c>
      <c r="I10" s="328">
        <f>VLOOKUP(H10,Turnus!$D$9:$E$26,2,FALSE)</f>
        <v>188.46428571428572</v>
      </c>
      <c r="J10" s="127">
        <f>+G10*I10</f>
        <v>3833.3635714285715</v>
      </c>
      <c r="K10" s="128">
        <f>VLOOKUP($F10,'Leistungswerte UHR Schulen'!$C$6:$F$38,4,FALSE)</f>
        <v>0</v>
      </c>
      <c r="L10" s="496" t="str">
        <f t="shared" si="9"/>
        <v/>
      </c>
      <c r="M10" s="129">
        <f>IF(ISERROR(J10/K10),0,J10/K10)</f>
        <v>0</v>
      </c>
      <c r="N10" s="547">
        <f t="shared" si="4"/>
        <v>0</v>
      </c>
      <c r="O10" s="130">
        <f>IF(ISERROR(G10/K10*N10),0,G10/K10*N10)</f>
        <v>0</v>
      </c>
      <c r="P10" s="131">
        <f t="shared" si="6"/>
        <v>0</v>
      </c>
      <c r="Q10" s="578">
        <f t="shared" si="10"/>
        <v>1</v>
      </c>
      <c r="R10" s="587"/>
      <c r="S10" s="482"/>
      <c r="T10" s="482"/>
      <c r="U10" s="482"/>
      <c r="V10" s="482"/>
      <c r="W10" s="482"/>
      <c r="X10" s="482"/>
      <c r="Y10" s="482"/>
      <c r="Z10" s="482"/>
      <c r="AA10" s="482"/>
      <c r="AB10" s="482"/>
      <c r="AC10" s="482"/>
      <c r="AD10" s="482"/>
      <c r="AE10" s="482"/>
      <c r="AF10" s="482"/>
      <c r="AG10" s="482"/>
      <c r="AH10" s="482"/>
      <c r="AI10" s="482"/>
      <c r="AJ10" s="482"/>
      <c r="AK10" s="482"/>
      <c r="AL10" s="482"/>
      <c r="AM10" s="482"/>
      <c r="AN10" s="482"/>
      <c r="AO10" s="482"/>
      <c r="AP10" s="482"/>
      <c r="AQ10" s="482"/>
      <c r="AR10" s="482"/>
      <c r="AS10" s="482"/>
      <c r="AT10" s="482"/>
      <c r="AU10" s="482"/>
      <c r="AV10" s="482"/>
      <c r="AW10" s="483"/>
      <c r="AX10" s="484">
        <f t="shared" si="11"/>
        <v>0</v>
      </c>
      <c r="AY10" s="501" t="str">
        <f t="shared" si="7"/>
        <v/>
      </c>
      <c r="AZ10" s="488">
        <f t="shared" si="8"/>
        <v>0</v>
      </c>
    </row>
    <row r="11" spans="1:52" s="57" customFormat="1" ht="24.9" customHeight="1" x14ac:dyDescent="0.25">
      <c r="A11" s="425" t="s">
        <v>361</v>
      </c>
      <c r="B11" s="303" t="s">
        <v>364</v>
      </c>
      <c r="C11" s="97" t="s">
        <v>730</v>
      </c>
      <c r="D11" s="145" t="s">
        <v>166</v>
      </c>
      <c r="E11" s="230"/>
      <c r="F11" s="414" t="s">
        <v>708</v>
      </c>
      <c r="G11" s="127">
        <v>88.3</v>
      </c>
      <c r="H11" s="303" t="str">
        <f>VLOOKUP($F11,'Leistungswerte UHR Schulen'!$C$6:$F$38,3,FALSE)</f>
        <v>kR</v>
      </c>
      <c r="I11" s="328">
        <f>VLOOKUP(H11,Turnus!$D$9:$E$26,2,FALSE)</f>
        <v>0</v>
      </c>
      <c r="J11" s="127">
        <f t="shared" ref="J11" si="12">+G11*I11</f>
        <v>0</v>
      </c>
      <c r="K11" s="128">
        <f>VLOOKUP($F11,'Leistungswerte UHR Schulen'!$C$6:$F$38,4,FALSE)</f>
        <v>0</v>
      </c>
      <c r="L11" s="496" t="str">
        <f t="shared" si="9"/>
        <v/>
      </c>
      <c r="M11" s="129">
        <f t="shared" ref="M11" si="13">IF(ISERROR(J11/K11),0,J11/K11)</f>
        <v>0</v>
      </c>
      <c r="N11" s="547">
        <f t="shared" si="4"/>
        <v>0</v>
      </c>
      <c r="O11" s="130">
        <f t="shared" ref="O11" si="14">IF(ISERROR(G11/K11*N11),0,G11/K11*N11)</f>
        <v>0</v>
      </c>
      <c r="P11" s="131">
        <f t="shared" si="6"/>
        <v>0</v>
      </c>
      <c r="Q11" s="578">
        <f t="shared" si="10"/>
        <v>1</v>
      </c>
      <c r="R11" s="587"/>
      <c r="S11" s="482"/>
      <c r="T11" s="482"/>
      <c r="U11" s="482"/>
      <c r="V11" s="482"/>
      <c r="W11" s="482"/>
      <c r="X11" s="482"/>
      <c r="Y11" s="482"/>
      <c r="Z11" s="482"/>
      <c r="AA11" s="482"/>
      <c r="AB11" s="482"/>
      <c r="AC11" s="482"/>
      <c r="AD11" s="482"/>
      <c r="AE11" s="482"/>
      <c r="AF11" s="482"/>
      <c r="AG11" s="482"/>
      <c r="AH11" s="482"/>
      <c r="AI11" s="482"/>
      <c r="AJ11" s="482"/>
      <c r="AK11" s="482"/>
      <c r="AL11" s="482"/>
      <c r="AM11" s="482"/>
      <c r="AN11" s="482"/>
      <c r="AO11" s="482"/>
      <c r="AP11" s="482"/>
      <c r="AQ11" s="482"/>
      <c r="AR11" s="482"/>
      <c r="AS11" s="482"/>
      <c r="AT11" s="482"/>
      <c r="AU11" s="482"/>
      <c r="AV11" s="482"/>
      <c r="AW11" s="483"/>
      <c r="AX11" s="484">
        <f t="shared" si="11"/>
        <v>0</v>
      </c>
      <c r="AY11" s="501" t="str">
        <f t="shared" si="7"/>
        <v/>
      </c>
      <c r="AZ11" s="488">
        <f t="shared" si="8"/>
        <v>0</v>
      </c>
    </row>
    <row r="12" spans="1:52" s="57" customFormat="1" ht="24.9" customHeight="1" x14ac:dyDescent="0.25">
      <c r="A12" s="425" t="s">
        <v>361</v>
      </c>
      <c r="B12" s="303" t="s">
        <v>364</v>
      </c>
      <c r="C12" s="97" t="s">
        <v>366</v>
      </c>
      <c r="D12" s="145" t="s">
        <v>367</v>
      </c>
      <c r="E12" s="230" t="s">
        <v>253</v>
      </c>
      <c r="F12" s="414" t="s">
        <v>890</v>
      </c>
      <c r="G12" s="127">
        <v>69.63</v>
      </c>
      <c r="H12" s="303" t="str">
        <f>VLOOKUP($F12,'Leistungswerte UHR Schulen'!$C$6:$F$38,3,FALSE)</f>
        <v>W3</v>
      </c>
      <c r="I12" s="328">
        <f>VLOOKUP(H12,Turnus!$D$9:$E$26,2,FALSE)</f>
        <v>114.53571428571426</v>
      </c>
      <c r="J12" s="127">
        <f t="shared" ref="J12:J14" si="15">+G12*I12</f>
        <v>7975.1217857142838</v>
      </c>
      <c r="K12" s="128">
        <f>VLOOKUP($F12,'Leistungswerte UHR Schulen'!$C$6:$F$38,4,FALSE)</f>
        <v>0</v>
      </c>
      <c r="L12" s="496" t="str">
        <f t="shared" si="9"/>
        <v/>
      </c>
      <c r="M12" s="129">
        <f t="shared" ref="M12:M14" si="16">IF(ISERROR(J12/K12),0,J12/K12)</f>
        <v>0</v>
      </c>
      <c r="N12" s="547">
        <f t="shared" si="4"/>
        <v>0</v>
      </c>
      <c r="O12" s="130">
        <f t="shared" ref="O12:O14" si="17">IF(ISERROR(G12/K12*N12),0,G12/K12*N12)</f>
        <v>0</v>
      </c>
      <c r="P12" s="131">
        <f t="shared" si="6"/>
        <v>0</v>
      </c>
      <c r="Q12" s="578">
        <f t="shared" si="10"/>
        <v>1</v>
      </c>
      <c r="R12" s="587"/>
      <c r="S12" s="482"/>
      <c r="T12" s="482"/>
      <c r="U12" s="482"/>
      <c r="V12" s="482"/>
      <c r="W12" s="482"/>
      <c r="X12" s="482"/>
      <c r="Y12" s="482"/>
      <c r="Z12" s="482"/>
      <c r="AA12" s="482"/>
      <c r="AB12" s="482"/>
      <c r="AC12" s="482"/>
      <c r="AD12" s="482"/>
      <c r="AE12" s="482"/>
      <c r="AF12" s="482"/>
      <c r="AG12" s="482"/>
      <c r="AH12" s="482"/>
      <c r="AI12" s="482"/>
      <c r="AJ12" s="482"/>
      <c r="AK12" s="482"/>
      <c r="AL12" s="482"/>
      <c r="AM12" s="482"/>
      <c r="AN12" s="482"/>
      <c r="AO12" s="482"/>
      <c r="AP12" s="482"/>
      <c r="AQ12" s="482"/>
      <c r="AR12" s="482"/>
      <c r="AS12" s="482"/>
      <c r="AT12" s="482"/>
      <c r="AU12" s="482"/>
      <c r="AV12" s="482"/>
      <c r="AW12" s="483"/>
      <c r="AX12" s="484">
        <f t="shared" si="11"/>
        <v>0</v>
      </c>
      <c r="AY12" s="501" t="str">
        <f t="shared" si="7"/>
        <v/>
      </c>
      <c r="AZ12" s="488">
        <f t="shared" si="8"/>
        <v>0</v>
      </c>
    </row>
    <row r="13" spans="1:52" s="57" customFormat="1" ht="24.9" customHeight="1" x14ac:dyDescent="0.25">
      <c r="A13" s="425" t="s">
        <v>361</v>
      </c>
      <c r="B13" s="303" t="s">
        <v>364</v>
      </c>
      <c r="C13" s="97" t="s">
        <v>368</v>
      </c>
      <c r="D13" s="414" t="s">
        <v>259</v>
      </c>
      <c r="E13" s="230" t="s">
        <v>253</v>
      </c>
      <c r="F13" s="414" t="s">
        <v>897</v>
      </c>
      <c r="G13" s="127">
        <v>27.22</v>
      </c>
      <c r="H13" s="303" t="str">
        <f>VLOOKUP($F13,'Leistungswerte UHR Schulen'!$C$6:$F$38,3,FALSE)</f>
        <v>W3</v>
      </c>
      <c r="I13" s="328">
        <f>VLOOKUP(H13,Turnus!$D$9:$E$26,2,FALSE)</f>
        <v>114.53571428571426</v>
      </c>
      <c r="J13" s="127">
        <f t="shared" si="15"/>
        <v>3117.662142857142</v>
      </c>
      <c r="K13" s="128">
        <f>VLOOKUP($F13,'Leistungswerte UHR Schulen'!$C$6:$F$38,4,FALSE)</f>
        <v>0</v>
      </c>
      <c r="L13" s="496" t="str">
        <f t="shared" si="9"/>
        <v/>
      </c>
      <c r="M13" s="129">
        <f t="shared" si="16"/>
        <v>0</v>
      </c>
      <c r="N13" s="547">
        <f t="shared" si="4"/>
        <v>0</v>
      </c>
      <c r="O13" s="130">
        <f t="shared" si="17"/>
        <v>0</v>
      </c>
      <c r="P13" s="131">
        <f t="shared" si="6"/>
        <v>0</v>
      </c>
      <c r="Q13" s="578">
        <f t="shared" si="10"/>
        <v>1</v>
      </c>
      <c r="R13" s="587"/>
      <c r="S13" s="482"/>
      <c r="T13" s="482"/>
      <c r="U13" s="482"/>
      <c r="V13" s="482"/>
      <c r="W13" s="482"/>
      <c r="X13" s="482"/>
      <c r="Y13" s="482"/>
      <c r="Z13" s="482"/>
      <c r="AA13" s="482"/>
      <c r="AB13" s="482"/>
      <c r="AC13" s="482"/>
      <c r="AD13" s="482"/>
      <c r="AE13" s="482"/>
      <c r="AF13" s="482"/>
      <c r="AG13" s="482"/>
      <c r="AH13" s="482"/>
      <c r="AI13" s="482"/>
      <c r="AJ13" s="482"/>
      <c r="AK13" s="482"/>
      <c r="AL13" s="482"/>
      <c r="AM13" s="482"/>
      <c r="AN13" s="482"/>
      <c r="AO13" s="482"/>
      <c r="AP13" s="482"/>
      <c r="AQ13" s="482"/>
      <c r="AR13" s="482"/>
      <c r="AS13" s="482"/>
      <c r="AT13" s="482"/>
      <c r="AU13" s="482"/>
      <c r="AV13" s="482"/>
      <c r="AW13" s="483"/>
      <c r="AX13" s="484">
        <f t="shared" si="11"/>
        <v>0</v>
      </c>
      <c r="AY13" s="501" t="str">
        <f t="shared" si="7"/>
        <v/>
      </c>
      <c r="AZ13" s="488">
        <f t="shared" si="8"/>
        <v>0</v>
      </c>
    </row>
    <row r="14" spans="1:52" s="57" customFormat="1" ht="24.9" customHeight="1" x14ac:dyDescent="0.25">
      <c r="A14" s="425" t="s">
        <v>361</v>
      </c>
      <c r="B14" s="303" t="s">
        <v>364</v>
      </c>
      <c r="C14" s="97" t="s">
        <v>369</v>
      </c>
      <c r="D14" s="145" t="s">
        <v>370</v>
      </c>
      <c r="E14" s="230" t="s">
        <v>253</v>
      </c>
      <c r="F14" s="414" t="s">
        <v>890</v>
      </c>
      <c r="G14" s="127">
        <v>69.63</v>
      </c>
      <c r="H14" s="303" t="str">
        <f>VLOOKUP($F14,'Leistungswerte UHR Schulen'!$C$6:$F$38,3,FALSE)</f>
        <v>W3</v>
      </c>
      <c r="I14" s="328">
        <f>VLOOKUP(H14,Turnus!$D$9:$E$26,2,FALSE)</f>
        <v>114.53571428571426</v>
      </c>
      <c r="J14" s="127">
        <f t="shared" si="15"/>
        <v>7975.1217857142838</v>
      </c>
      <c r="K14" s="128">
        <f>VLOOKUP($F14,'Leistungswerte UHR Schulen'!$C$6:$F$38,4,FALSE)</f>
        <v>0</v>
      </c>
      <c r="L14" s="496" t="str">
        <f t="shared" si="9"/>
        <v/>
      </c>
      <c r="M14" s="129">
        <f t="shared" si="16"/>
        <v>0</v>
      </c>
      <c r="N14" s="547">
        <f t="shared" si="4"/>
        <v>0</v>
      </c>
      <c r="O14" s="130">
        <f t="shared" si="17"/>
        <v>0</v>
      </c>
      <c r="P14" s="131">
        <f t="shared" si="6"/>
        <v>0</v>
      </c>
      <c r="Q14" s="578">
        <f t="shared" si="10"/>
        <v>1</v>
      </c>
      <c r="R14" s="587"/>
      <c r="S14" s="482"/>
      <c r="T14" s="482"/>
      <c r="U14" s="482"/>
      <c r="V14" s="482"/>
      <c r="W14" s="482"/>
      <c r="X14" s="482"/>
      <c r="Y14" s="482"/>
      <c r="Z14" s="482"/>
      <c r="AA14" s="482"/>
      <c r="AB14" s="482"/>
      <c r="AC14" s="482"/>
      <c r="AD14" s="482"/>
      <c r="AE14" s="482"/>
      <c r="AF14" s="482"/>
      <c r="AG14" s="482"/>
      <c r="AH14" s="482"/>
      <c r="AI14" s="482"/>
      <c r="AJ14" s="482"/>
      <c r="AK14" s="482"/>
      <c r="AL14" s="482"/>
      <c r="AM14" s="482"/>
      <c r="AN14" s="482"/>
      <c r="AO14" s="482"/>
      <c r="AP14" s="482"/>
      <c r="AQ14" s="482"/>
      <c r="AR14" s="482"/>
      <c r="AS14" s="482"/>
      <c r="AT14" s="482"/>
      <c r="AU14" s="482"/>
      <c r="AV14" s="482"/>
      <c r="AW14" s="483"/>
      <c r="AX14" s="484">
        <f t="shared" si="11"/>
        <v>0</v>
      </c>
      <c r="AY14" s="501" t="str">
        <f t="shared" si="7"/>
        <v/>
      </c>
      <c r="AZ14" s="488">
        <f t="shared" si="8"/>
        <v>0</v>
      </c>
    </row>
    <row r="15" spans="1:52" s="57" customFormat="1" ht="24.9" customHeight="1" x14ac:dyDescent="0.25">
      <c r="A15" s="425" t="s">
        <v>361</v>
      </c>
      <c r="B15" s="97" t="s">
        <v>364</v>
      </c>
      <c r="C15" s="97" t="s">
        <v>371</v>
      </c>
      <c r="D15" s="145" t="s">
        <v>252</v>
      </c>
      <c r="E15" s="230" t="s">
        <v>253</v>
      </c>
      <c r="F15" s="414" t="s">
        <v>901</v>
      </c>
      <c r="G15" s="127">
        <v>11.66</v>
      </c>
      <c r="H15" s="303" t="str">
        <f>VLOOKUP($F15,'Leistungswerte UHR Schulen'!$C$6:$F$38,3,FALSE)</f>
        <v>W3</v>
      </c>
      <c r="I15" s="328">
        <f>VLOOKUP(H15,Turnus!$D$9:$E$26,2,FALSE)</f>
        <v>114.53571428571426</v>
      </c>
      <c r="J15" s="127">
        <f t="shared" ref="J15:J189" si="18">+G15*I15</f>
        <v>1335.4864285714284</v>
      </c>
      <c r="K15" s="128">
        <f>VLOOKUP($F15,'Leistungswerte UHR Schulen'!$C$6:$F$38,4,FALSE)</f>
        <v>0</v>
      </c>
      <c r="L15" s="496" t="str">
        <f t="shared" si="9"/>
        <v/>
      </c>
      <c r="M15" s="129">
        <f t="shared" ref="M15:M189" si="19">IF(ISERROR(J15/K15),0,J15/K15)</f>
        <v>0</v>
      </c>
      <c r="N15" s="547">
        <f t="shared" si="4"/>
        <v>0</v>
      </c>
      <c r="O15" s="130">
        <f t="shared" ref="O15:O189" si="20">IF(ISERROR(G15/K15*N15),0,G15/K15*N15)</f>
        <v>0</v>
      </c>
      <c r="P15" s="131">
        <f t="shared" si="6"/>
        <v>0</v>
      </c>
      <c r="Q15" s="578">
        <f t="shared" si="10"/>
        <v>1</v>
      </c>
      <c r="R15" s="587"/>
      <c r="S15" s="482"/>
      <c r="T15" s="482"/>
      <c r="U15" s="482"/>
      <c r="V15" s="482"/>
      <c r="W15" s="482"/>
      <c r="X15" s="482"/>
      <c r="Y15" s="482"/>
      <c r="Z15" s="482"/>
      <c r="AA15" s="482"/>
      <c r="AB15" s="482"/>
      <c r="AC15" s="482"/>
      <c r="AD15" s="482"/>
      <c r="AE15" s="482"/>
      <c r="AF15" s="482"/>
      <c r="AG15" s="482"/>
      <c r="AH15" s="482"/>
      <c r="AI15" s="482"/>
      <c r="AJ15" s="482"/>
      <c r="AK15" s="482"/>
      <c r="AL15" s="482"/>
      <c r="AM15" s="482"/>
      <c r="AN15" s="482"/>
      <c r="AO15" s="482"/>
      <c r="AP15" s="482"/>
      <c r="AQ15" s="482"/>
      <c r="AR15" s="482"/>
      <c r="AS15" s="482"/>
      <c r="AT15" s="482"/>
      <c r="AU15" s="482"/>
      <c r="AV15" s="482"/>
      <c r="AW15" s="483"/>
      <c r="AX15" s="484">
        <f t="shared" si="11"/>
        <v>0</v>
      </c>
      <c r="AY15" s="501" t="str">
        <f t="shared" si="7"/>
        <v/>
      </c>
      <c r="AZ15" s="488">
        <f t="shared" si="8"/>
        <v>0</v>
      </c>
    </row>
    <row r="16" spans="1:52" s="57" customFormat="1" ht="24.9" customHeight="1" x14ac:dyDescent="0.25">
      <c r="A16" s="425" t="s">
        <v>361</v>
      </c>
      <c r="B16" s="97" t="s">
        <v>364</v>
      </c>
      <c r="C16" s="97" t="s">
        <v>412</v>
      </c>
      <c r="D16" s="145" t="s">
        <v>102</v>
      </c>
      <c r="E16" s="230" t="s">
        <v>253</v>
      </c>
      <c r="F16" s="414" t="s">
        <v>676</v>
      </c>
      <c r="G16" s="127">
        <v>83.53</v>
      </c>
      <c r="H16" s="303" t="str">
        <f>VLOOKUP($F16,'Leistungswerte UHR Schulen'!$C$6:$F$38,3,FALSE)</f>
        <v>W5</v>
      </c>
      <c r="I16" s="328">
        <f>VLOOKUP(H16,Turnus!$D$9:$E$26,2,FALSE)</f>
        <v>188.46428571428572</v>
      </c>
      <c r="J16" s="127">
        <f>+G16*I16</f>
        <v>15742.421785714287</v>
      </c>
      <c r="K16" s="128">
        <f>VLOOKUP($F16,'Leistungswerte UHR Schulen'!$C$6:$F$38,4,FALSE)</f>
        <v>0</v>
      </c>
      <c r="L16" s="496" t="str">
        <f t="shared" si="9"/>
        <v/>
      </c>
      <c r="M16" s="129">
        <f>IF(ISERROR(J16/K16),0,J16/K16)</f>
        <v>0</v>
      </c>
      <c r="N16" s="547">
        <f t="shared" si="4"/>
        <v>0</v>
      </c>
      <c r="O16" s="130">
        <f>IF(ISERROR(G16/K16*N16),0,G16/K16*N16)</f>
        <v>0</v>
      </c>
      <c r="P16" s="131">
        <f t="shared" si="6"/>
        <v>0</v>
      </c>
      <c r="Q16" s="578">
        <f t="shared" si="10"/>
        <v>1</v>
      </c>
      <c r="R16" s="587"/>
      <c r="S16" s="482"/>
      <c r="T16" s="482"/>
      <c r="U16" s="482"/>
      <c r="V16" s="482"/>
      <c r="W16" s="482"/>
      <c r="X16" s="482"/>
      <c r="Y16" s="482"/>
      <c r="Z16" s="482"/>
      <c r="AA16" s="482"/>
      <c r="AB16" s="482"/>
      <c r="AC16" s="482"/>
      <c r="AD16" s="482"/>
      <c r="AE16" s="482"/>
      <c r="AF16" s="482"/>
      <c r="AG16" s="482"/>
      <c r="AH16" s="482"/>
      <c r="AI16" s="482"/>
      <c r="AJ16" s="482"/>
      <c r="AK16" s="482"/>
      <c r="AL16" s="482"/>
      <c r="AM16" s="482"/>
      <c r="AN16" s="482"/>
      <c r="AO16" s="482"/>
      <c r="AP16" s="482"/>
      <c r="AQ16" s="482"/>
      <c r="AR16" s="482"/>
      <c r="AS16" s="482"/>
      <c r="AT16" s="482"/>
      <c r="AU16" s="482"/>
      <c r="AV16" s="482"/>
      <c r="AW16" s="483"/>
      <c r="AX16" s="484">
        <f t="shared" si="11"/>
        <v>0</v>
      </c>
      <c r="AY16" s="501" t="str">
        <f t="shared" si="7"/>
        <v/>
      </c>
      <c r="AZ16" s="488">
        <f t="shared" si="8"/>
        <v>0</v>
      </c>
    </row>
    <row r="17" spans="1:52" s="57" customFormat="1" ht="24.9" customHeight="1" x14ac:dyDescent="0.25">
      <c r="A17" s="425" t="s">
        <v>361</v>
      </c>
      <c r="B17" s="97" t="s">
        <v>364</v>
      </c>
      <c r="C17" s="97" t="s">
        <v>372</v>
      </c>
      <c r="D17" s="414" t="s">
        <v>252</v>
      </c>
      <c r="E17" s="230" t="s">
        <v>253</v>
      </c>
      <c r="F17" s="414" t="s">
        <v>901</v>
      </c>
      <c r="G17" s="127">
        <v>11.66</v>
      </c>
      <c r="H17" s="303" t="str">
        <f>VLOOKUP($F17,'Leistungswerte UHR Schulen'!$C$6:$F$38,3,FALSE)</f>
        <v>W3</v>
      </c>
      <c r="I17" s="328">
        <f>VLOOKUP(H17,Turnus!$D$9:$E$26,2,FALSE)</f>
        <v>114.53571428571426</v>
      </c>
      <c r="J17" s="127">
        <f t="shared" si="18"/>
        <v>1335.4864285714284</v>
      </c>
      <c r="K17" s="128">
        <f>VLOOKUP($F17,'Leistungswerte UHR Schulen'!$C$6:$F$38,4,FALSE)</f>
        <v>0</v>
      </c>
      <c r="L17" s="496" t="str">
        <f t="shared" si="9"/>
        <v/>
      </c>
      <c r="M17" s="129">
        <f t="shared" si="19"/>
        <v>0</v>
      </c>
      <c r="N17" s="547">
        <f t="shared" si="4"/>
        <v>0</v>
      </c>
      <c r="O17" s="130">
        <f t="shared" si="20"/>
        <v>0</v>
      </c>
      <c r="P17" s="131">
        <f t="shared" si="6"/>
        <v>0</v>
      </c>
      <c r="Q17" s="578">
        <f t="shared" si="10"/>
        <v>1</v>
      </c>
      <c r="R17" s="587"/>
      <c r="S17" s="482"/>
      <c r="T17" s="482"/>
      <c r="U17" s="482"/>
      <c r="V17" s="482"/>
      <c r="W17" s="482"/>
      <c r="X17" s="482"/>
      <c r="Y17" s="482"/>
      <c r="Z17" s="482"/>
      <c r="AA17" s="482"/>
      <c r="AB17" s="482"/>
      <c r="AC17" s="482"/>
      <c r="AD17" s="482"/>
      <c r="AE17" s="482"/>
      <c r="AF17" s="482"/>
      <c r="AG17" s="482"/>
      <c r="AH17" s="482"/>
      <c r="AI17" s="482"/>
      <c r="AJ17" s="482"/>
      <c r="AK17" s="482"/>
      <c r="AL17" s="482"/>
      <c r="AM17" s="482"/>
      <c r="AN17" s="482"/>
      <c r="AO17" s="482"/>
      <c r="AP17" s="482"/>
      <c r="AQ17" s="482"/>
      <c r="AR17" s="482"/>
      <c r="AS17" s="482"/>
      <c r="AT17" s="482"/>
      <c r="AU17" s="482"/>
      <c r="AV17" s="482"/>
      <c r="AW17" s="483"/>
      <c r="AX17" s="484">
        <f t="shared" si="11"/>
        <v>0</v>
      </c>
      <c r="AY17" s="501" t="str">
        <f t="shared" si="7"/>
        <v/>
      </c>
      <c r="AZ17" s="488">
        <f t="shared" si="8"/>
        <v>0</v>
      </c>
    </row>
    <row r="18" spans="1:52" s="57" customFormat="1" ht="24.9" customHeight="1" x14ac:dyDescent="0.25">
      <c r="A18" s="425" t="s">
        <v>361</v>
      </c>
      <c r="B18" s="97" t="s">
        <v>364</v>
      </c>
      <c r="C18" s="97" t="s">
        <v>373</v>
      </c>
      <c r="D18" s="145" t="s">
        <v>374</v>
      </c>
      <c r="E18" s="230" t="s">
        <v>253</v>
      </c>
      <c r="F18" s="414" t="s">
        <v>890</v>
      </c>
      <c r="G18" s="127">
        <v>69.63</v>
      </c>
      <c r="H18" s="303" t="str">
        <f>VLOOKUP($F18,'Leistungswerte UHR Schulen'!$C$6:$F$38,3,FALSE)</f>
        <v>W3</v>
      </c>
      <c r="I18" s="328">
        <f>VLOOKUP(H18,Turnus!$D$9:$E$26,2,FALSE)</f>
        <v>114.53571428571426</v>
      </c>
      <c r="J18" s="127">
        <f t="shared" si="18"/>
        <v>7975.1217857142838</v>
      </c>
      <c r="K18" s="128">
        <f>VLOOKUP($F18,'Leistungswerte UHR Schulen'!$C$6:$F$38,4,FALSE)</f>
        <v>0</v>
      </c>
      <c r="L18" s="496" t="str">
        <f t="shared" si="9"/>
        <v/>
      </c>
      <c r="M18" s="129">
        <f t="shared" si="19"/>
        <v>0</v>
      </c>
      <c r="N18" s="547">
        <f t="shared" si="4"/>
        <v>0</v>
      </c>
      <c r="O18" s="130">
        <f t="shared" si="20"/>
        <v>0</v>
      </c>
      <c r="P18" s="131">
        <f t="shared" si="6"/>
        <v>0</v>
      </c>
      <c r="Q18" s="578">
        <f t="shared" si="10"/>
        <v>1</v>
      </c>
      <c r="R18" s="587"/>
      <c r="S18" s="482"/>
      <c r="T18" s="482"/>
      <c r="U18" s="482"/>
      <c r="V18" s="482"/>
      <c r="W18" s="482"/>
      <c r="X18" s="482"/>
      <c r="Y18" s="482"/>
      <c r="Z18" s="482"/>
      <c r="AA18" s="482"/>
      <c r="AB18" s="482"/>
      <c r="AC18" s="482"/>
      <c r="AD18" s="482"/>
      <c r="AE18" s="482"/>
      <c r="AF18" s="482"/>
      <c r="AG18" s="482"/>
      <c r="AH18" s="482"/>
      <c r="AI18" s="482"/>
      <c r="AJ18" s="482"/>
      <c r="AK18" s="482"/>
      <c r="AL18" s="482"/>
      <c r="AM18" s="482"/>
      <c r="AN18" s="482"/>
      <c r="AO18" s="482"/>
      <c r="AP18" s="482"/>
      <c r="AQ18" s="482"/>
      <c r="AR18" s="482"/>
      <c r="AS18" s="482"/>
      <c r="AT18" s="482"/>
      <c r="AU18" s="482"/>
      <c r="AV18" s="482"/>
      <c r="AW18" s="483"/>
      <c r="AX18" s="484">
        <f t="shared" si="11"/>
        <v>0</v>
      </c>
      <c r="AY18" s="501" t="str">
        <f t="shared" si="7"/>
        <v/>
      </c>
      <c r="AZ18" s="488">
        <f t="shared" si="8"/>
        <v>0</v>
      </c>
    </row>
    <row r="19" spans="1:52" s="57" customFormat="1" ht="24.9" customHeight="1" x14ac:dyDescent="0.25">
      <c r="A19" s="425" t="s">
        <v>361</v>
      </c>
      <c r="B19" s="97" t="s">
        <v>364</v>
      </c>
      <c r="C19" s="97" t="s">
        <v>375</v>
      </c>
      <c r="D19" s="145" t="s">
        <v>259</v>
      </c>
      <c r="E19" s="230" t="s">
        <v>253</v>
      </c>
      <c r="F19" s="414" t="s">
        <v>897</v>
      </c>
      <c r="G19" s="127">
        <v>27.22</v>
      </c>
      <c r="H19" s="303" t="str">
        <f>VLOOKUP($F19,'Leistungswerte UHR Schulen'!$C$6:$F$38,3,FALSE)</f>
        <v>W3</v>
      </c>
      <c r="I19" s="328">
        <f>VLOOKUP(H19,Turnus!$D$9:$E$26,2,FALSE)</f>
        <v>114.53571428571426</v>
      </c>
      <c r="J19" s="127">
        <f t="shared" ref="J19:J107" si="21">+G19*I19</f>
        <v>3117.662142857142</v>
      </c>
      <c r="K19" s="128">
        <f>VLOOKUP($F19,'Leistungswerte UHR Schulen'!$C$6:$F$38,4,FALSE)</f>
        <v>0</v>
      </c>
      <c r="L19" s="496" t="str">
        <f t="shared" si="9"/>
        <v/>
      </c>
      <c r="M19" s="129">
        <f t="shared" ref="M19:M107" si="22">IF(ISERROR(J19/K19),0,J19/K19)</f>
        <v>0</v>
      </c>
      <c r="N19" s="547">
        <f t="shared" si="4"/>
        <v>0</v>
      </c>
      <c r="O19" s="130">
        <f t="shared" ref="O19:O107" si="23">IF(ISERROR(G19/K19*N19),0,G19/K19*N19)</f>
        <v>0</v>
      </c>
      <c r="P19" s="131">
        <f t="shared" si="6"/>
        <v>0</v>
      </c>
      <c r="Q19" s="578">
        <f t="shared" si="10"/>
        <v>1</v>
      </c>
      <c r="R19" s="587"/>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c r="AW19" s="483"/>
      <c r="AX19" s="484">
        <f t="shared" si="11"/>
        <v>0</v>
      </c>
      <c r="AY19" s="501" t="str">
        <f t="shared" si="7"/>
        <v/>
      </c>
      <c r="AZ19" s="488">
        <f t="shared" si="8"/>
        <v>0</v>
      </c>
    </row>
    <row r="20" spans="1:52" s="57" customFormat="1" ht="24.9" customHeight="1" x14ac:dyDescent="0.25">
      <c r="A20" s="425" t="s">
        <v>361</v>
      </c>
      <c r="B20" s="97" t="s">
        <v>364</v>
      </c>
      <c r="C20" s="97" t="s">
        <v>376</v>
      </c>
      <c r="D20" s="145" t="s">
        <v>377</v>
      </c>
      <c r="E20" s="230" t="s">
        <v>253</v>
      </c>
      <c r="F20" s="414" t="s">
        <v>890</v>
      </c>
      <c r="G20" s="127">
        <v>69.63</v>
      </c>
      <c r="H20" s="303" t="str">
        <f>VLOOKUP($F20,'Leistungswerte UHR Schulen'!$C$6:$F$38,3,FALSE)</f>
        <v>W3</v>
      </c>
      <c r="I20" s="328">
        <f>VLOOKUP(H20,Turnus!$D$9:$E$26,2,FALSE)</f>
        <v>114.53571428571426</v>
      </c>
      <c r="J20" s="127">
        <f t="shared" si="21"/>
        <v>7975.1217857142838</v>
      </c>
      <c r="K20" s="128">
        <f>VLOOKUP($F20,'Leistungswerte UHR Schulen'!$C$6:$F$38,4,FALSE)</f>
        <v>0</v>
      </c>
      <c r="L20" s="496" t="str">
        <f t="shared" si="9"/>
        <v/>
      </c>
      <c r="M20" s="129">
        <f t="shared" si="22"/>
        <v>0</v>
      </c>
      <c r="N20" s="547">
        <f t="shared" si="4"/>
        <v>0</v>
      </c>
      <c r="O20" s="130">
        <f t="shared" si="23"/>
        <v>0</v>
      </c>
      <c r="P20" s="131">
        <f t="shared" si="6"/>
        <v>0</v>
      </c>
      <c r="Q20" s="578">
        <f t="shared" si="10"/>
        <v>1</v>
      </c>
      <c r="R20" s="587"/>
      <c r="S20" s="482"/>
      <c r="T20" s="482"/>
      <c r="U20" s="482"/>
      <c r="V20" s="482"/>
      <c r="W20" s="482"/>
      <c r="X20" s="482"/>
      <c r="Y20" s="482"/>
      <c r="Z20" s="482"/>
      <c r="AA20" s="482"/>
      <c r="AB20" s="482"/>
      <c r="AC20" s="482"/>
      <c r="AD20" s="482"/>
      <c r="AE20" s="482"/>
      <c r="AF20" s="482"/>
      <c r="AG20" s="482"/>
      <c r="AH20" s="482"/>
      <c r="AI20" s="482"/>
      <c r="AJ20" s="482"/>
      <c r="AK20" s="482"/>
      <c r="AL20" s="482"/>
      <c r="AM20" s="482"/>
      <c r="AN20" s="482"/>
      <c r="AO20" s="482"/>
      <c r="AP20" s="482"/>
      <c r="AQ20" s="482"/>
      <c r="AR20" s="482"/>
      <c r="AS20" s="482"/>
      <c r="AT20" s="482"/>
      <c r="AU20" s="482"/>
      <c r="AV20" s="482"/>
      <c r="AW20" s="483"/>
      <c r="AX20" s="484">
        <f t="shared" si="11"/>
        <v>0</v>
      </c>
      <c r="AY20" s="501" t="str">
        <f t="shared" si="7"/>
        <v/>
      </c>
      <c r="AZ20" s="488">
        <f t="shared" si="8"/>
        <v>0</v>
      </c>
    </row>
    <row r="21" spans="1:52" s="57" customFormat="1" ht="24.9" customHeight="1" x14ac:dyDescent="0.25">
      <c r="A21" s="425" t="s">
        <v>361</v>
      </c>
      <c r="B21" s="97" t="s">
        <v>364</v>
      </c>
      <c r="C21" s="97" t="s">
        <v>378</v>
      </c>
      <c r="D21" s="414" t="s">
        <v>252</v>
      </c>
      <c r="E21" s="415" t="s">
        <v>253</v>
      </c>
      <c r="F21" s="414" t="s">
        <v>901</v>
      </c>
      <c r="G21" s="127">
        <v>11.66</v>
      </c>
      <c r="H21" s="303" t="str">
        <f>VLOOKUP($F21,'Leistungswerte UHR Schulen'!$C$6:$F$38,3,FALSE)</f>
        <v>W3</v>
      </c>
      <c r="I21" s="328">
        <f>VLOOKUP(H21,Turnus!$D$9:$E$26,2,FALSE)</f>
        <v>114.53571428571426</v>
      </c>
      <c r="J21" s="127">
        <f t="shared" si="21"/>
        <v>1335.4864285714284</v>
      </c>
      <c r="K21" s="128">
        <f>VLOOKUP($F21,'Leistungswerte UHR Schulen'!$C$6:$F$38,4,FALSE)</f>
        <v>0</v>
      </c>
      <c r="L21" s="496" t="str">
        <f t="shared" si="9"/>
        <v/>
      </c>
      <c r="M21" s="129">
        <f t="shared" si="22"/>
        <v>0</v>
      </c>
      <c r="N21" s="547">
        <f t="shared" si="4"/>
        <v>0</v>
      </c>
      <c r="O21" s="130">
        <f t="shared" si="23"/>
        <v>0</v>
      </c>
      <c r="P21" s="131">
        <f t="shared" si="6"/>
        <v>0</v>
      </c>
      <c r="Q21" s="578">
        <f t="shared" si="10"/>
        <v>1</v>
      </c>
      <c r="R21" s="587"/>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c r="AW21" s="483"/>
      <c r="AX21" s="484">
        <f t="shared" si="11"/>
        <v>0</v>
      </c>
      <c r="AY21" s="501" t="str">
        <f t="shared" si="7"/>
        <v/>
      </c>
      <c r="AZ21" s="488">
        <f t="shared" si="8"/>
        <v>0</v>
      </c>
    </row>
    <row r="22" spans="1:52" s="57" customFormat="1" ht="24.9" customHeight="1" x14ac:dyDescent="0.25">
      <c r="A22" s="425" t="s">
        <v>361</v>
      </c>
      <c r="B22" s="303" t="s">
        <v>364</v>
      </c>
      <c r="C22" s="97" t="s">
        <v>731</v>
      </c>
      <c r="D22" s="145" t="s">
        <v>732</v>
      </c>
      <c r="E22" s="230" t="s">
        <v>870</v>
      </c>
      <c r="F22" s="414" t="s">
        <v>708</v>
      </c>
      <c r="G22" s="127">
        <v>4.47</v>
      </c>
      <c r="H22" s="303" t="str">
        <f>VLOOKUP($F22,'Leistungswerte UHR Schulen'!$C$6:$F$38,3,FALSE)</f>
        <v>kR</v>
      </c>
      <c r="I22" s="328">
        <f>VLOOKUP(H22,Turnus!$D$9:$E$26,2,FALSE)</f>
        <v>0</v>
      </c>
      <c r="J22" s="127">
        <f t="shared" si="21"/>
        <v>0</v>
      </c>
      <c r="K22" s="128">
        <f>VLOOKUP($F22,'Leistungswerte UHR Schulen'!$C$6:$F$38,4,FALSE)</f>
        <v>0</v>
      </c>
      <c r="L22" s="496" t="str">
        <f t="shared" si="9"/>
        <v/>
      </c>
      <c r="M22" s="129">
        <f t="shared" si="22"/>
        <v>0</v>
      </c>
      <c r="N22" s="547">
        <f t="shared" si="4"/>
        <v>0</v>
      </c>
      <c r="O22" s="130">
        <f t="shared" si="23"/>
        <v>0</v>
      </c>
      <c r="P22" s="131">
        <f t="shared" si="6"/>
        <v>0</v>
      </c>
      <c r="Q22" s="578">
        <f t="shared" si="10"/>
        <v>1</v>
      </c>
      <c r="R22" s="587"/>
      <c r="S22" s="482"/>
      <c r="T22" s="482"/>
      <c r="U22" s="482"/>
      <c r="V22" s="482"/>
      <c r="W22" s="482"/>
      <c r="X22" s="482"/>
      <c r="Y22" s="482"/>
      <c r="Z22" s="482"/>
      <c r="AA22" s="482"/>
      <c r="AB22" s="482"/>
      <c r="AC22" s="482"/>
      <c r="AD22" s="482"/>
      <c r="AE22" s="482"/>
      <c r="AF22" s="482"/>
      <c r="AG22" s="482"/>
      <c r="AH22" s="482"/>
      <c r="AI22" s="482"/>
      <c r="AJ22" s="482"/>
      <c r="AK22" s="482"/>
      <c r="AL22" s="482"/>
      <c r="AM22" s="482"/>
      <c r="AN22" s="482"/>
      <c r="AO22" s="482"/>
      <c r="AP22" s="482"/>
      <c r="AQ22" s="482"/>
      <c r="AR22" s="482"/>
      <c r="AS22" s="482"/>
      <c r="AT22" s="482"/>
      <c r="AU22" s="482"/>
      <c r="AV22" s="482"/>
      <c r="AW22" s="483"/>
      <c r="AX22" s="484">
        <f t="shared" si="11"/>
        <v>0</v>
      </c>
      <c r="AY22" s="501" t="str">
        <f t="shared" si="7"/>
        <v/>
      </c>
      <c r="AZ22" s="488">
        <f t="shared" si="8"/>
        <v>0</v>
      </c>
    </row>
    <row r="23" spans="1:52" s="57" customFormat="1" ht="24.9" customHeight="1" x14ac:dyDescent="0.25">
      <c r="A23" s="425" t="s">
        <v>361</v>
      </c>
      <c r="B23" s="97" t="s">
        <v>364</v>
      </c>
      <c r="C23" s="97" t="s">
        <v>379</v>
      </c>
      <c r="D23" s="145" t="s">
        <v>380</v>
      </c>
      <c r="E23" s="415" t="s">
        <v>253</v>
      </c>
      <c r="F23" s="414" t="s">
        <v>689</v>
      </c>
      <c r="G23" s="127">
        <v>9.81</v>
      </c>
      <c r="H23" s="303" t="str">
        <f>VLOOKUP($F23,'Leistungswerte UHR Schulen'!$C$6:$F$38,3,FALSE)</f>
        <v>M1</v>
      </c>
      <c r="I23" s="328">
        <f>VLOOKUP(H23,Turnus!$D$9:$E$26,2,FALSE)</f>
        <v>11</v>
      </c>
      <c r="J23" s="127">
        <f t="shared" si="21"/>
        <v>107.91000000000001</v>
      </c>
      <c r="K23" s="128">
        <f>VLOOKUP($F23,'Leistungswerte UHR Schulen'!$C$6:$F$38,4,FALSE)</f>
        <v>0</v>
      </c>
      <c r="L23" s="496" t="str">
        <f t="shared" si="9"/>
        <v/>
      </c>
      <c r="M23" s="129">
        <f t="shared" si="22"/>
        <v>0</v>
      </c>
      <c r="N23" s="547">
        <f t="shared" si="4"/>
        <v>0</v>
      </c>
      <c r="O23" s="130">
        <f t="shared" si="23"/>
        <v>0</v>
      </c>
      <c r="P23" s="131">
        <f t="shared" si="6"/>
        <v>0</v>
      </c>
      <c r="Q23" s="578">
        <f t="shared" si="10"/>
        <v>1</v>
      </c>
      <c r="R23" s="587"/>
      <c r="S23" s="482"/>
      <c r="T23" s="482"/>
      <c r="U23" s="482"/>
      <c r="V23" s="482"/>
      <c r="W23" s="482"/>
      <c r="X23" s="482"/>
      <c r="Y23" s="482"/>
      <c r="Z23" s="482"/>
      <c r="AA23" s="482"/>
      <c r="AB23" s="482"/>
      <c r="AC23" s="482"/>
      <c r="AD23" s="482"/>
      <c r="AE23" s="482"/>
      <c r="AF23" s="482"/>
      <c r="AG23" s="482"/>
      <c r="AH23" s="482"/>
      <c r="AI23" s="482"/>
      <c r="AJ23" s="482"/>
      <c r="AK23" s="482"/>
      <c r="AL23" s="482"/>
      <c r="AM23" s="482"/>
      <c r="AN23" s="482"/>
      <c r="AO23" s="482"/>
      <c r="AP23" s="482"/>
      <c r="AQ23" s="482"/>
      <c r="AR23" s="482"/>
      <c r="AS23" s="482"/>
      <c r="AT23" s="482"/>
      <c r="AU23" s="482"/>
      <c r="AV23" s="482"/>
      <c r="AW23" s="483"/>
      <c r="AX23" s="484">
        <f t="shared" si="11"/>
        <v>0</v>
      </c>
      <c r="AY23" s="501" t="str">
        <f t="shared" si="7"/>
        <v/>
      </c>
      <c r="AZ23" s="488">
        <f t="shared" si="8"/>
        <v>0</v>
      </c>
    </row>
    <row r="24" spans="1:52" s="57" customFormat="1" ht="24.9" customHeight="1" x14ac:dyDescent="0.25">
      <c r="A24" s="425" t="s">
        <v>361</v>
      </c>
      <c r="B24" s="97" t="s">
        <v>364</v>
      </c>
      <c r="C24" s="97" t="s">
        <v>381</v>
      </c>
      <c r="D24" s="414" t="s">
        <v>382</v>
      </c>
      <c r="E24" s="415" t="s">
        <v>171</v>
      </c>
      <c r="F24" s="414" t="s">
        <v>670</v>
      </c>
      <c r="G24" s="127">
        <v>3.17</v>
      </c>
      <c r="H24" s="303" t="str">
        <f>VLOOKUP($F24,'Leistungswerte UHR Schulen'!$C$6:$F$38,3,FALSE)</f>
        <v>W5</v>
      </c>
      <c r="I24" s="328">
        <f>VLOOKUP(H24,Turnus!$D$9:$E$26,2,FALSE)</f>
        <v>188.46428571428572</v>
      </c>
      <c r="J24" s="127">
        <f t="shared" si="21"/>
        <v>597.43178571428575</v>
      </c>
      <c r="K24" s="128">
        <f>VLOOKUP($F24,'Leistungswerte UHR Schulen'!$C$6:$F$38,4,FALSE)</f>
        <v>0</v>
      </c>
      <c r="L24" s="496" t="str">
        <f t="shared" si="9"/>
        <v/>
      </c>
      <c r="M24" s="129">
        <f t="shared" si="22"/>
        <v>0</v>
      </c>
      <c r="N24" s="547">
        <f t="shared" si="4"/>
        <v>0</v>
      </c>
      <c r="O24" s="130">
        <f t="shared" si="23"/>
        <v>0</v>
      </c>
      <c r="P24" s="131">
        <f t="shared" si="6"/>
        <v>0</v>
      </c>
      <c r="Q24" s="578">
        <f t="shared" si="10"/>
        <v>1</v>
      </c>
      <c r="R24" s="587"/>
      <c r="S24" s="482"/>
      <c r="T24" s="482"/>
      <c r="U24" s="482"/>
      <c r="V24" s="482"/>
      <c r="W24" s="482"/>
      <c r="X24" s="482"/>
      <c r="Y24" s="482"/>
      <c r="Z24" s="482"/>
      <c r="AA24" s="482"/>
      <c r="AB24" s="482"/>
      <c r="AC24" s="482"/>
      <c r="AD24" s="482"/>
      <c r="AE24" s="482"/>
      <c r="AF24" s="482"/>
      <c r="AG24" s="482"/>
      <c r="AH24" s="482"/>
      <c r="AI24" s="482"/>
      <c r="AJ24" s="482"/>
      <c r="AK24" s="482"/>
      <c r="AL24" s="482"/>
      <c r="AM24" s="482"/>
      <c r="AN24" s="482"/>
      <c r="AO24" s="482"/>
      <c r="AP24" s="482"/>
      <c r="AQ24" s="482"/>
      <c r="AR24" s="482"/>
      <c r="AS24" s="482"/>
      <c r="AT24" s="482"/>
      <c r="AU24" s="482"/>
      <c r="AV24" s="482"/>
      <c r="AW24" s="483"/>
      <c r="AX24" s="484">
        <f t="shared" si="11"/>
        <v>0</v>
      </c>
      <c r="AY24" s="501" t="str">
        <f t="shared" si="7"/>
        <v/>
      </c>
      <c r="AZ24" s="488">
        <f t="shared" si="8"/>
        <v>0</v>
      </c>
    </row>
    <row r="25" spans="1:52" s="57" customFormat="1" ht="24.9" customHeight="1" x14ac:dyDescent="0.25">
      <c r="A25" s="425" t="s">
        <v>361</v>
      </c>
      <c r="B25" s="97" t="s">
        <v>364</v>
      </c>
      <c r="C25" s="97" t="s">
        <v>383</v>
      </c>
      <c r="D25" s="145" t="s">
        <v>270</v>
      </c>
      <c r="E25" s="415" t="s">
        <v>171</v>
      </c>
      <c r="F25" s="414" t="s">
        <v>670</v>
      </c>
      <c r="G25" s="127">
        <v>18.28</v>
      </c>
      <c r="H25" s="303" t="str">
        <f>VLOOKUP($F25,'Leistungswerte UHR Schulen'!$C$6:$F$38,3,FALSE)</f>
        <v>W5</v>
      </c>
      <c r="I25" s="328">
        <f>VLOOKUP(H25,Turnus!$D$9:$E$26,2,FALSE)</f>
        <v>188.46428571428572</v>
      </c>
      <c r="J25" s="127">
        <f t="shared" si="21"/>
        <v>3445.1271428571431</v>
      </c>
      <c r="K25" s="128">
        <f>VLOOKUP($F25,'Leistungswerte UHR Schulen'!$C$6:$F$38,4,FALSE)</f>
        <v>0</v>
      </c>
      <c r="L25" s="496" t="str">
        <f t="shared" si="9"/>
        <v/>
      </c>
      <c r="M25" s="129">
        <f t="shared" si="22"/>
        <v>0</v>
      </c>
      <c r="N25" s="547">
        <f t="shared" si="4"/>
        <v>0</v>
      </c>
      <c r="O25" s="130">
        <f t="shared" si="23"/>
        <v>0</v>
      </c>
      <c r="P25" s="131">
        <f t="shared" si="6"/>
        <v>0</v>
      </c>
      <c r="Q25" s="578">
        <f t="shared" si="10"/>
        <v>1</v>
      </c>
      <c r="R25" s="587"/>
      <c r="S25" s="482"/>
      <c r="T25" s="482"/>
      <c r="U25" s="482"/>
      <c r="V25" s="482"/>
      <c r="W25" s="482"/>
      <c r="X25" s="482"/>
      <c r="Y25" s="482"/>
      <c r="Z25" s="482"/>
      <c r="AA25" s="482"/>
      <c r="AB25" s="482"/>
      <c r="AC25" s="482"/>
      <c r="AD25" s="482"/>
      <c r="AE25" s="482"/>
      <c r="AF25" s="482"/>
      <c r="AG25" s="482"/>
      <c r="AH25" s="482"/>
      <c r="AI25" s="482"/>
      <c r="AJ25" s="482"/>
      <c r="AK25" s="482"/>
      <c r="AL25" s="482"/>
      <c r="AM25" s="482"/>
      <c r="AN25" s="482"/>
      <c r="AO25" s="482"/>
      <c r="AP25" s="482"/>
      <c r="AQ25" s="482"/>
      <c r="AR25" s="482"/>
      <c r="AS25" s="482"/>
      <c r="AT25" s="482"/>
      <c r="AU25" s="482"/>
      <c r="AV25" s="482"/>
      <c r="AW25" s="483"/>
      <c r="AX25" s="484">
        <f t="shared" si="11"/>
        <v>0</v>
      </c>
      <c r="AY25" s="501" t="str">
        <f t="shared" si="7"/>
        <v/>
      </c>
      <c r="AZ25" s="488">
        <f t="shared" si="8"/>
        <v>0</v>
      </c>
    </row>
    <row r="26" spans="1:52" s="57" customFormat="1" ht="24.9" customHeight="1" x14ac:dyDescent="0.25">
      <c r="A26" s="425" t="s">
        <v>361</v>
      </c>
      <c r="B26" s="97" t="s">
        <v>364</v>
      </c>
      <c r="C26" s="97" t="s">
        <v>384</v>
      </c>
      <c r="D26" s="145" t="s">
        <v>385</v>
      </c>
      <c r="E26" s="415" t="s">
        <v>171</v>
      </c>
      <c r="F26" s="414" t="s">
        <v>670</v>
      </c>
      <c r="G26" s="127">
        <v>18.22</v>
      </c>
      <c r="H26" s="303" t="str">
        <f>VLOOKUP($F26,'Leistungswerte UHR Schulen'!$C$6:$F$38,3,FALSE)</f>
        <v>W5</v>
      </c>
      <c r="I26" s="328">
        <f>VLOOKUP(H26,Turnus!$D$9:$E$26,2,FALSE)</f>
        <v>188.46428571428572</v>
      </c>
      <c r="J26" s="127">
        <f t="shared" si="21"/>
        <v>3433.8192857142858</v>
      </c>
      <c r="K26" s="128">
        <f>VLOOKUP($F26,'Leistungswerte UHR Schulen'!$C$6:$F$38,4,FALSE)</f>
        <v>0</v>
      </c>
      <c r="L26" s="496" t="str">
        <f t="shared" si="9"/>
        <v/>
      </c>
      <c r="M26" s="129">
        <f t="shared" si="22"/>
        <v>0</v>
      </c>
      <c r="N26" s="547">
        <f t="shared" si="4"/>
        <v>0</v>
      </c>
      <c r="O26" s="130">
        <f t="shared" si="23"/>
        <v>0</v>
      </c>
      <c r="P26" s="131">
        <f t="shared" si="6"/>
        <v>0</v>
      </c>
      <c r="Q26" s="578">
        <f t="shared" si="10"/>
        <v>1</v>
      </c>
      <c r="R26" s="587"/>
      <c r="S26" s="482"/>
      <c r="T26" s="482"/>
      <c r="U26" s="482"/>
      <c r="V26" s="482"/>
      <c r="W26" s="482"/>
      <c r="X26" s="482"/>
      <c r="Y26" s="482"/>
      <c r="Z26" s="482"/>
      <c r="AA26" s="482"/>
      <c r="AB26" s="482"/>
      <c r="AC26" s="482"/>
      <c r="AD26" s="482"/>
      <c r="AE26" s="482"/>
      <c r="AF26" s="482"/>
      <c r="AG26" s="482"/>
      <c r="AH26" s="482"/>
      <c r="AI26" s="482"/>
      <c r="AJ26" s="482"/>
      <c r="AK26" s="482"/>
      <c r="AL26" s="482"/>
      <c r="AM26" s="482"/>
      <c r="AN26" s="482"/>
      <c r="AO26" s="482"/>
      <c r="AP26" s="482"/>
      <c r="AQ26" s="482"/>
      <c r="AR26" s="482"/>
      <c r="AS26" s="482"/>
      <c r="AT26" s="482"/>
      <c r="AU26" s="482"/>
      <c r="AV26" s="482"/>
      <c r="AW26" s="483"/>
      <c r="AX26" s="484">
        <f t="shared" si="11"/>
        <v>0</v>
      </c>
      <c r="AY26" s="501" t="str">
        <f t="shared" si="7"/>
        <v/>
      </c>
      <c r="AZ26" s="488">
        <f t="shared" si="8"/>
        <v>0</v>
      </c>
    </row>
    <row r="27" spans="1:52" s="57" customFormat="1" ht="24.9" customHeight="1" x14ac:dyDescent="0.25">
      <c r="A27" s="425" t="s">
        <v>361</v>
      </c>
      <c r="B27" s="97" t="s">
        <v>364</v>
      </c>
      <c r="C27" s="97" t="s">
        <v>386</v>
      </c>
      <c r="D27" s="414" t="s">
        <v>387</v>
      </c>
      <c r="E27" s="415" t="s">
        <v>171</v>
      </c>
      <c r="F27" s="414" t="s">
        <v>670</v>
      </c>
      <c r="G27" s="127">
        <v>6.53</v>
      </c>
      <c r="H27" s="303" t="str">
        <f>VLOOKUP($F27,'Leistungswerte UHR Schulen'!$C$6:$F$38,3,FALSE)</f>
        <v>W5</v>
      </c>
      <c r="I27" s="328">
        <f>VLOOKUP(H27,Turnus!$D$9:$E$26,2,FALSE)</f>
        <v>188.46428571428572</v>
      </c>
      <c r="J27" s="127">
        <f t="shared" si="21"/>
        <v>1230.6717857142858</v>
      </c>
      <c r="K27" s="128">
        <f>VLOOKUP($F27,'Leistungswerte UHR Schulen'!$C$6:$F$38,4,FALSE)</f>
        <v>0</v>
      </c>
      <c r="L27" s="496" t="str">
        <f t="shared" si="9"/>
        <v/>
      </c>
      <c r="M27" s="129">
        <f t="shared" si="22"/>
        <v>0</v>
      </c>
      <c r="N27" s="547">
        <f t="shared" si="4"/>
        <v>0</v>
      </c>
      <c r="O27" s="130">
        <f t="shared" si="23"/>
        <v>0</v>
      </c>
      <c r="P27" s="131">
        <f t="shared" si="6"/>
        <v>0</v>
      </c>
      <c r="Q27" s="578">
        <f t="shared" si="10"/>
        <v>1</v>
      </c>
      <c r="R27" s="587"/>
      <c r="S27" s="482"/>
      <c r="T27" s="482"/>
      <c r="U27" s="482"/>
      <c r="V27" s="482"/>
      <c r="W27" s="482"/>
      <c r="X27" s="482"/>
      <c r="Y27" s="482"/>
      <c r="Z27" s="482"/>
      <c r="AA27" s="482"/>
      <c r="AB27" s="482"/>
      <c r="AC27" s="482"/>
      <c r="AD27" s="482"/>
      <c r="AE27" s="482"/>
      <c r="AF27" s="482"/>
      <c r="AG27" s="482"/>
      <c r="AH27" s="482"/>
      <c r="AI27" s="482"/>
      <c r="AJ27" s="482"/>
      <c r="AK27" s="482"/>
      <c r="AL27" s="482"/>
      <c r="AM27" s="482"/>
      <c r="AN27" s="482"/>
      <c r="AO27" s="482"/>
      <c r="AP27" s="482"/>
      <c r="AQ27" s="482"/>
      <c r="AR27" s="482"/>
      <c r="AS27" s="482"/>
      <c r="AT27" s="482"/>
      <c r="AU27" s="482"/>
      <c r="AV27" s="482"/>
      <c r="AW27" s="483"/>
      <c r="AX27" s="484">
        <f t="shared" si="11"/>
        <v>0</v>
      </c>
      <c r="AY27" s="501" t="str">
        <f t="shared" si="7"/>
        <v/>
      </c>
      <c r="AZ27" s="488">
        <f t="shared" si="8"/>
        <v>0</v>
      </c>
    </row>
    <row r="28" spans="1:52" s="57" customFormat="1" ht="24.9" customHeight="1" x14ac:dyDescent="0.25">
      <c r="A28" s="425" t="s">
        <v>361</v>
      </c>
      <c r="B28" s="97" t="s">
        <v>364</v>
      </c>
      <c r="C28" s="97" t="s">
        <v>413</v>
      </c>
      <c r="D28" s="145" t="s">
        <v>677</v>
      </c>
      <c r="E28" s="230" t="s">
        <v>253</v>
      </c>
      <c r="F28" s="414" t="s">
        <v>676</v>
      </c>
      <c r="G28" s="127">
        <v>198.98</v>
      </c>
      <c r="H28" s="303" t="str">
        <f>VLOOKUP($F28,'Leistungswerte UHR Schulen'!$C$6:$F$38,3,FALSE)</f>
        <v>W5</v>
      </c>
      <c r="I28" s="328">
        <f>VLOOKUP(H28,Turnus!$D$9:$E$26,2,FALSE)</f>
        <v>188.46428571428572</v>
      </c>
      <c r="J28" s="127">
        <f>+G28*I28</f>
        <v>37500.623571428572</v>
      </c>
      <c r="K28" s="128">
        <f>VLOOKUP($F28,'Leistungswerte UHR Schulen'!$C$6:$F$38,4,FALSE)</f>
        <v>0</v>
      </c>
      <c r="L28" s="496" t="str">
        <f t="shared" si="9"/>
        <v/>
      </c>
      <c r="M28" s="129">
        <f>IF(ISERROR(J28/K28),0,J28/K28)</f>
        <v>0</v>
      </c>
      <c r="N28" s="547">
        <f t="shared" si="4"/>
        <v>0</v>
      </c>
      <c r="O28" s="130">
        <f>IF(ISERROR(G28/K28*N28),0,G28/K28*N28)</f>
        <v>0</v>
      </c>
      <c r="P28" s="131">
        <f t="shared" si="6"/>
        <v>0</v>
      </c>
      <c r="Q28" s="578">
        <f t="shared" si="10"/>
        <v>1</v>
      </c>
      <c r="R28" s="587"/>
      <c r="S28" s="482"/>
      <c r="T28" s="482"/>
      <c r="U28" s="482"/>
      <c r="V28" s="482"/>
      <c r="W28" s="482"/>
      <c r="X28" s="482"/>
      <c r="Y28" s="482"/>
      <c r="Z28" s="482"/>
      <c r="AA28" s="482"/>
      <c r="AB28" s="482"/>
      <c r="AC28" s="482"/>
      <c r="AD28" s="482"/>
      <c r="AE28" s="482"/>
      <c r="AF28" s="482"/>
      <c r="AG28" s="482"/>
      <c r="AH28" s="482"/>
      <c r="AI28" s="482"/>
      <c r="AJ28" s="482"/>
      <c r="AK28" s="482"/>
      <c r="AL28" s="482"/>
      <c r="AM28" s="482"/>
      <c r="AN28" s="482"/>
      <c r="AO28" s="482"/>
      <c r="AP28" s="482"/>
      <c r="AQ28" s="482"/>
      <c r="AR28" s="482"/>
      <c r="AS28" s="482"/>
      <c r="AT28" s="482"/>
      <c r="AU28" s="482"/>
      <c r="AV28" s="482"/>
      <c r="AW28" s="483"/>
      <c r="AX28" s="484">
        <f t="shared" si="11"/>
        <v>0</v>
      </c>
      <c r="AY28" s="501" t="str">
        <f t="shared" si="7"/>
        <v/>
      </c>
      <c r="AZ28" s="488">
        <f t="shared" si="8"/>
        <v>0</v>
      </c>
    </row>
    <row r="29" spans="1:52" s="57" customFormat="1" ht="24.9" customHeight="1" x14ac:dyDescent="0.25">
      <c r="A29" s="425" t="s">
        <v>361</v>
      </c>
      <c r="B29" s="97" t="s">
        <v>364</v>
      </c>
      <c r="C29" s="97" t="s">
        <v>421</v>
      </c>
      <c r="D29" s="145" t="s">
        <v>266</v>
      </c>
      <c r="E29" s="230" t="s">
        <v>619</v>
      </c>
      <c r="F29" s="414" t="s">
        <v>674</v>
      </c>
      <c r="G29" s="127">
        <v>16.02</v>
      </c>
      <c r="H29" s="303" t="str">
        <f>VLOOKUP($F29,'Leistungswerte UHR Schulen'!$C$6:$F$38,3,FALSE)</f>
        <v>W5</v>
      </c>
      <c r="I29" s="328">
        <f>VLOOKUP(H29,Turnus!$D$9:$E$26,2,FALSE)</f>
        <v>188.46428571428572</v>
      </c>
      <c r="J29" s="127">
        <f>+G29*I29</f>
        <v>3019.1978571428572</v>
      </c>
      <c r="K29" s="128">
        <f>VLOOKUP($F29,'Leistungswerte UHR Schulen'!$C$6:$F$38,4,FALSE)</f>
        <v>0</v>
      </c>
      <c r="L29" s="496" t="str">
        <f t="shared" si="9"/>
        <v/>
      </c>
      <c r="M29" s="129">
        <f>IF(ISERROR(J29/K29),0,J29/K29)</f>
        <v>0</v>
      </c>
      <c r="N29" s="547">
        <f t="shared" si="4"/>
        <v>0</v>
      </c>
      <c r="O29" s="130">
        <f>IF(ISERROR(G29/K29*N29),0,G29/K29*N29)</f>
        <v>0</v>
      </c>
      <c r="P29" s="131">
        <f t="shared" si="6"/>
        <v>0</v>
      </c>
      <c r="Q29" s="578">
        <f t="shared" si="10"/>
        <v>1</v>
      </c>
      <c r="R29" s="587"/>
      <c r="S29" s="482"/>
      <c r="T29" s="482"/>
      <c r="U29" s="482"/>
      <c r="V29" s="482"/>
      <c r="W29" s="482"/>
      <c r="X29" s="482"/>
      <c r="Y29" s="482"/>
      <c r="Z29" s="482"/>
      <c r="AA29" s="482"/>
      <c r="AB29" s="482"/>
      <c r="AC29" s="482"/>
      <c r="AD29" s="482"/>
      <c r="AE29" s="482"/>
      <c r="AF29" s="482"/>
      <c r="AG29" s="482"/>
      <c r="AH29" s="482"/>
      <c r="AI29" s="482"/>
      <c r="AJ29" s="482"/>
      <c r="AK29" s="482"/>
      <c r="AL29" s="482"/>
      <c r="AM29" s="482"/>
      <c r="AN29" s="482"/>
      <c r="AO29" s="482"/>
      <c r="AP29" s="482"/>
      <c r="AQ29" s="482"/>
      <c r="AR29" s="482"/>
      <c r="AS29" s="482"/>
      <c r="AT29" s="482"/>
      <c r="AU29" s="482"/>
      <c r="AV29" s="482"/>
      <c r="AW29" s="483"/>
      <c r="AX29" s="484">
        <f t="shared" si="11"/>
        <v>0</v>
      </c>
      <c r="AY29" s="501" t="str">
        <f t="shared" si="7"/>
        <v/>
      </c>
      <c r="AZ29" s="488">
        <f t="shared" si="8"/>
        <v>0</v>
      </c>
    </row>
    <row r="30" spans="1:52" s="57" customFormat="1" ht="24.9" customHeight="1" x14ac:dyDescent="0.25">
      <c r="A30" s="425" t="s">
        <v>361</v>
      </c>
      <c r="B30" s="97" t="s">
        <v>364</v>
      </c>
      <c r="C30" s="97" t="s">
        <v>388</v>
      </c>
      <c r="D30" s="145" t="s">
        <v>880</v>
      </c>
      <c r="E30" s="230" t="s">
        <v>253</v>
      </c>
      <c r="F30" s="414" t="s">
        <v>890</v>
      </c>
      <c r="G30" s="127">
        <v>61.96</v>
      </c>
      <c r="H30" s="303" t="str">
        <f>VLOOKUP($F30,'Leistungswerte UHR Schulen'!$C$6:$F$38,3,FALSE)</f>
        <v>W3</v>
      </c>
      <c r="I30" s="328">
        <f>VLOOKUP(H30,Turnus!$D$9:$E$26,2,FALSE)</f>
        <v>114.53571428571426</v>
      </c>
      <c r="J30" s="127">
        <f t="shared" si="21"/>
        <v>7096.6328571428558</v>
      </c>
      <c r="K30" s="128">
        <f>VLOOKUP($F30,'Leistungswerte UHR Schulen'!$C$6:$F$38,4,FALSE)</f>
        <v>0</v>
      </c>
      <c r="L30" s="496" t="str">
        <f t="shared" si="9"/>
        <v/>
      </c>
      <c r="M30" s="129">
        <f t="shared" si="22"/>
        <v>0</v>
      </c>
      <c r="N30" s="547">
        <f t="shared" si="4"/>
        <v>0</v>
      </c>
      <c r="O30" s="130">
        <f t="shared" si="23"/>
        <v>0</v>
      </c>
      <c r="P30" s="131">
        <f t="shared" si="6"/>
        <v>0</v>
      </c>
      <c r="Q30" s="578">
        <f t="shared" si="10"/>
        <v>1</v>
      </c>
      <c r="R30" s="587"/>
      <c r="S30" s="482"/>
      <c r="T30" s="482"/>
      <c r="U30" s="482"/>
      <c r="V30" s="482"/>
      <c r="W30" s="482"/>
      <c r="X30" s="482"/>
      <c r="Y30" s="482"/>
      <c r="Z30" s="482"/>
      <c r="AA30" s="482"/>
      <c r="AB30" s="482"/>
      <c r="AC30" s="482"/>
      <c r="AD30" s="482"/>
      <c r="AE30" s="482"/>
      <c r="AF30" s="482"/>
      <c r="AG30" s="482"/>
      <c r="AH30" s="482"/>
      <c r="AI30" s="482"/>
      <c r="AJ30" s="482"/>
      <c r="AK30" s="482"/>
      <c r="AL30" s="482"/>
      <c r="AM30" s="482"/>
      <c r="AN30" s="482"/>
      <c r="AO30" s="482"/>
      <c r="AP30" s="482"/>
      <c r="AQ30" s="482"/>
      <c r="AR30" s="482"/>
      <c r="AS30" s="482"/>
      <c r="AT30" s="482"/>
      <c r="AU30" s="482"/>
      <c r="AV30" s="482"/>
      <c r="AW30" s="483"/>
      <c r="AX30" s="484">
        <f t="shared" si="11"/>
        <v>0</v>
      </c>
      <c r="AY30" s="501" t="str">
        <f t="shared" si="7"/>
        <v/>
      </c>
      <c r="AZ30" s="488">
        <f t="shared" si="8"/>
        <v>0</v>
      </c>
    </row>
    <row r="31" spans="1:52" s="57" customFormat="1" ht="24.9" customHeight="1" x14ac:dyDescent="0.25">
      <c r="A31" s="425" t="s">
        <v>361</v>
      </c>
      <c r="B31" s="97" t="s">
        <v>364</v>
      </c>
      <c r="C31" s="97" t="s">
        <v>389</v>
      </c>
      <c r="D31" s="145" t="s">
        <v>252</v>
      </c>
      <c r="E31" s="230" t="s">
        <v>253</v>
      </c>
      <c r="F31" s="414" t="s">
        <v>901</v>
      </c>
      <c r="G31" s="127">
        <v>11.66</v>
      </c>
      <c r="H31" s="303" t="str">
        <f>VLOOKUP($F31,'Leistungswerte UHR Schulen'!$C$6:$F$38,3,FALSE)</f>
        <v>W3</v>
      </c>
      <c r="I31" s="328">
        <f>VLOOKUP(H31,Turnus!$D$9:$E$26,2,FALSE)</f>
        <v>114.53571428571426</v>
      </c>
      <c r="J31" s="127">
        <f t="shared" si="21"/>
        <v>1335.4864285714284</v>
      </c>
      <c r="K31" s="128">
        <f>VLOOKUP($F31,'Leistungswerte UHR Schulen'!$C$6:$F$38,4,FALSE)</f>
        <v>0</v>
      </c>
      <c r="L31" s="496" t="str">
        <f t="shared" si="9"/>
        <v/>
      </c>
      <c r="M31" s="129">
        <f t="shared" si="22"/>
        <v>0</v>
      </c>
      <c r="N31" s="547">
        <f t="shared" si="4"/>
        <v>0</v>
      </c>
      <c r="O31" s="130">
        <f t="shared" si="23"/>
        <v>0</v>
      </c>
      <c r="P31" s="131">
        <f t="shared" si="6"/>
        <v>0</v>
      </c>
      <c r="Q31" s="578">
        <f t="shared" si="10"/>
        <v>1</v>
      </c>
      <c r="R31" s="587"/>
      <c r="S31" s="482"/>
      <c r="T31" s="482"/>
      <c r="U31" s="482"/>
      <c r="V31" s="482"/>
      <c r="W31" s="482"/>
      <c r="X31" s="482"/>
      <c r="Y31" s="482"/>
      <c r="Z31" s="482"/>
      <c r="AA31" s="482"/>
      <c r="AB31" s="482"/>
      <c r="AC31" s="482"/>
      <c r="AD31" s="482"/>
      <c r="AE31" s="482"/>
      <c r="AF31" s="482"/>
      <c r="AG31" s="482"/>
      <c r="AH31" s="482"/>
      <c r="AI31" s="482"/>
      <c r="AJ31" s="482"/>
      <c r="AK31" s="482"/>
      <c r="AL31" s="482"/>
      <c r="AM31" s="482"/>
      <c r="AN31" s="482"/>
      <c r="AO31" s="482"/>
      <c r="AP31" s="482"/>
      <c r="AQ31" s="482"/>
      <c r="AR31" s="482"/>
      <c r="AS31" s="482"/>
      <c r="AT31" s="482"/>
      <c r="AU31" s="482"/>
      <c r="AV31" s="482"/>
      <c r="AW31" s="483"/>
      <c r="AX31" s="484">
        <f t="shared" si="11"/>
        <v>0</v>
      </c>
      <c r="AY31" s="501" t="str">
        <f t="shared" si="7"/>
        <v/>
      </c>
      <c r="AZ31" s="488">
        <f t="shared" si="8"/>
        <v>0</v>
      </c>
    </row>
    <row r="32" spans="1:52" s="57" customFormat="1" ht="24.9" customHeight="1" x14ac:dyDescent="0.25">
      <c r="A32" s="425" t="s">
        <v>361</v>
      </c>
      <c r="B32" s="97" t="s">
        <v>364</v>
      </c>
      <c r="C32" s="97" t="s">
        <v>390</v>
      </c>
      <c r="D32" s="145" t="s">
        <v>391</v>
      </c>
      <c r="E32" s="230" t="s">
        <v>253</v>
      </c>
      <c r="F32" s="414" t="s">
        <v>890</v>
      </c>
      <c r="G32" s="127">
        <v>69.63</v>
      </c>
      <c r="H32" s="303" t="str">
        <f>VLOOKUP($F32,'Leistungswerte UHR Schulen'!$C$6:$F$38,3,FALSE)</f>
        <v>W3</v>
      </c>
      <c r="I32" s="328">
        <f>VLOOKUP(H32,Turnus!$D$9:$E$26,2,FALSE)</f>
        <v>114.53571428571426</v>
      </c>
      <c r="J32" s="127">
        <f t="shared" si="21"/>
        <v>7975.1217857142838</v>
      </c>
      <c r="K32" s="128">
        <f>VLOOKUP($F32,'Leistungswerte UHR Schulen'!$C$6:$F$38,4,FALSE)</f>
        <v>0</v>
      </c>
      <c r="L32" s="496" t="str">
        <f t="shared" si="9"/>
        <v/>
      </c>
      <c r="M32" s="129">
        <f t="shared" si="22"/>
        <v>0</v>
      </c>
      <c r="N32" s="547">
        <f t="shared" si="4"/>
        <v>0</v>
      </c>
      <c r="O32" s="130">
        <f t="shared" si="23"/>
        <v>0</v>
      </c>
      <c r="P32" s="131">
        <f t="shared" si="6"/>
        <v>0</v>
      </c>
      <c r="Q32" s="578">
        <f t="shared" si="10"/>
        <v>1</v>
      </c>
      <c r="R32" s="587"/>
      <c r="S32" s="482"/>
      <c r="T32" s="482"/>
      <c r="U32" s="482"/>
      <c r="V32" s="482"/>
      <c r="W32" s="482"/>
      <c r="X32" s="482"/>
      <c r="Y32" s="482"/>
      <c r="Z32" s="482"/>
      <c r="AA32" s="482"/>
      <c r="AB32" s="482"/>
      <c r="AC32" s="482"/>
      <c r="AD32" s="482"/>
      <c r="AE32" s="482"/>
      <c r="AF32" s="482"/>
      <c r="AG32" s="482"/>
      <c r="AH32" s="482"/>
      <c r="AI32" s="482"/>
      <c r="AJ32" s="482"/>
      <c r="AK32" s="482"/>
      <c r="AL32" s="482"/>
      <c r="AM32" s="482"/>
      <c r="AN32" s="482"/>
      <c r="AO32" s="482"/>
      <c r="AP32" s="482"/>
      <c r="AQ32" s="482"/>
      <c r="AR32" s="482"/>
      <c r="AS32" s="482"/>
      <c r="AT32" s="482"/>
      <c r="AU32" s="482"/>
      <c r="AV32" s="482"/>
      <c r="AW32" s="483"/>
      <c r="AX32" s="484">
        <f t="shared" si="11"/>
        <v>0</v>
      </c>
      <c r="AY32" s="501" t="str">
        <f t="shared" si="7"/>
        <v/>
      </c>
      <c r="AZ32" s="488">
        <f t="shared" si="8"/>
        <v>0</v>
      </c>
    </row>
    <row r="33" spans="1:52" s="57" customFormat="1" ht="24.9" customHeight="1" x14ac:dyDescent="0.25">
      <c r="A33" s="425" t="s">
        <v>361</v>
      </c>
      <c r="B33" s="97" t="s">
        <v>364</v>
      </c>
      <c r="C33" s="97" t="s">
        <v>392</v>
      </c>
      <c r="D33" s="145" t="s">
        <v>259</v>
      </c>
      <c r="E33" s="230" t="s">
        <v>253</v>
      </c>
      <c r="F33" s="414" t="s">
        <v>897</v>
      </c>
      <c r="G33" s="127">
        <v>27.22</v>
      </c>
      <c r="H33" s="303" t="str">
        <f>VLOOKUP($F33,'Leistungswerte UHR Schulen'!$C$6:$F$38,3,FALSE)</f>
        <v>W3</v>
      </c>
      <c r="I33" s="328">
        <f>VLOOKUP(H33,Turnus!$D$9:$E$26,2,FALSE)</f>
        <v>114.53571428571426</v>
      </c>
      <c r="J33" s="127">
        <f t="shared" si="21"/>
        <v>3117.662142857142</v>
      </c>
      <c r="K33" s="128">
        <f>VLOOKUP($F33,'Leistungswerte UHR Schulen'!$C$6:$F$38,4,FALSE)</f>
        <v>0</v>
      </c>
      <c r="L33" s="496" t="str">
        <f t="shared" si="9"/>
        <v/>
      </c>
      <c r="M33" s="129">
        <f t="shared" si="22"/>
        <v>0</v>
      </c>
      <c r="N33" s="547">
        <f t="shared" si="4"/>
        <v>0</v>
      </c>
      <c r="O33" s="130">
        <f t="shared" si="23"/>
        <v>0</v>
      </c>
      <c r="P33" s="131">
        <f t="shared" si="6"/>
        <v>0</v>
      </c>
      <c r="Q33" s="578">
        <f t="shared" si="10"/>
        <v>1</v>
      </c>
      <c r="R33" s="587"/>
      <c r="S33" s="482"/>
      <c r="T33" s="482"/>
      <c r="U33" s="482"/>
      <c r="V33" s="482"/>
      <c r="W33" s="482"/>
      <c r="X33" s="482"/>
      <c r="Y33" s="482"/>
      <c r="Z33" s="482"/>
      <c r="AA33" s="482"/>
      <c r="AB33" s="482"/>
      <c r="AC33" s="482"/>
      <c r="AD33" s="482"/>
      <c r="AE33" s="482"/>
      <c r="AF33" s="482"/>
      <c r="AG33" s="482"/>
      <c r="AH33" s="482"/>
      <c r="AI33" s="482"/>
      <c r="AJ33" s="482"/>
      <c r="AK33" s="482"/>
      <c r="AL33" s="482"/>
      <c r="AM33" s="482"/>
      <c r="AN33" s="482"/>
      <c r="AO33" s="482"/>
      <c r="AP33" s="482"/>
      <c r="AQ33" s="482"/>
      <c r="AR33" s="482"/>
      <c r="AS33" s="482"/>
      <c r="AT33" s="482"/>
      <c r="AU33" s="482"/>
      <c r="AV33" s="482"/>
      <c r="AW33" s="483"/>
      <c r="AX33" s="484">
        <f t="shared" si="11"/>
        <v>0</v>
      </c>
      <c r="AY33" s="501" t="str">
        <f t="shared" si="7"/>
        <v/>
      </c>
      <c r="AZ33" s="488">
        <f t="shared" si="8"/>
        <v>0</v>
      </c>
    </row>
    <row r="34" spans="1:52" s="57" customFormat="1" ht="24.9" customHeight="1" x14ac:dyDescent="0.25">
      <c r="A34" s="425" t="s">
        <v>361</v>
      </c>
      <c r="B34" s="97" t="s">
        <v>364</v>
      </c>
      <c r="C34" s="97" t="s">
        <v>393</v>
      </c>
      <c r="D34" s="145" t="s">
        <v>394</v>
      </c>
      <c r="E34" s="230" t="s">
        <v>253</v>
      </c>
      <c r="F34" s="414" t="s">
        <v>890</v>
      </c>
      <c r="G34" s="127">
        <v>69.63</v>
      </c>
      <c r="H34" s="303" t="str">
        <f>VLOOKUP($F34,'Leistungswerte UHR Schulen'!$C$6:$F$38,3,FALSE)</f>
        <v>W3</v>
      </c>
      <c r="I34" s="328">
        <f>VLOOKUP(H34,Turnus!$D$9:$E$26,2,FALSE)</f>
        <v>114.53571428571426</v>
      </c>
      <c r="J34" s="127">
        <f t="shared" si="21"/>
        <v>7975.1217857142838</v>
      </c>
      <c r="K34" s="128">
        <f>VLOOKUP($F34,'Leistungswerte UHR Schulen'!$C$6:$F$38,4,FALSE)</f>
        <v>0</v>
      </c>
      <c r="L34" s="496" t="str">
        <f t="shared" si="9"/>
        <v/>
      </c>
      <c r="M34" s="129">
        <f t="shared" si="22"/>
        <v>0</v>
      </c>
      <c r="N34" s="547">
        <f t="shared" si="4"/>
        <v>0</v>
      </c>
      <c r="O34" s="130">
        <f t="shared" si="23"/>
        <v>0</v>
      </c>
      <c r="P34" s="131">
        <f t="shared" si="6"/>
        <v>0</v>
      </c>
      <c r="Q34" s="578">
        <f t="shared" si="10"/>
        <v>1</v>
      </c>
      <c r="R34" s="587"/>
      <c r="S34" s="482"/>
      <c r="T34" s="482"/>
      <c r="U34" s="482"/>
      <c r="V34" s="482"/>
      <c r="W34" s="482"/>
      <c r="X34" s="482"/>
      <c r="Y34" s="482"/>
      <c r="Z34" s="482"/>
      <c r="AA34" s="482"/>
      <c r="AB34" s="482"/>
      <c r="AC34" s="482"/>
      <c r="AD34" s="482"/>
      <c r="AE34" s="482"/>
      <c r="AF34" s="482"/>
      <c r="AG34" s="482"/>
      <c r="AH34" s="482"/>
      <c r="AI34" s="482"/>
      <c r="AJ34" s="482"/>
      <c r="AK34" s="482"/>
      <c r="AL34" s="482"/>
      <c r="AM34" s="482"/>
      <c r="AN34" s="482"/>
      <c r="AO34" s="482"/>
      <c r="AP34" s="482"/>
      <c r="AQ34" s="482"/>
      <c r="AR34" s="482"/>
      <c r="AS34" s="482"/>
      <c r="AT34" s="482"/>
      <c r="AU34" s="482"/>
      <c r="AV34" s="482"/>
      <c r="AW34" s="483"/>
      <c r="AX34" s="484">
        <f t="shared" si="11"/>
        <v>0</v>
      </c>
      <c r="AY34" s="501" t="str">
        <f t="shared" si="7"/>
        <v/>
      </c>
      <c r="AZ34" s="488">
        <f t="shared" si="8"/>
        <v>0</v>
      </c>
    </row>
    <row r="35" spans="1:52" s="57" customFormat="1" ht="24.9" customHeight="1" x14ac:dyDescent="0.25">
      <c r="A35" s="425" t="s">
        <v>361</v>
      </c>
      <c r="B35" s="97" t="s">
        <v>364</v>
      </c>
      <c r="C35" s="97" t="s">
        <v>395</v>
      </c>
      <c r="D35" s="145" t="s">
        <v>252</v>
      </c>
      <c r="E35" s="230" t="s">
        <v>253</v>
      </c>
      <c r="F35" s="414" t="s">
        <v>901</v>
      </c>
      <c r="G35" s="127">
        <v>11.66</v>
      </c>
      <c r="H35" s="303" t="str">
        <f>VLOOKUP($F35,'Leistungswerte UHR Schulen'!$C$6:$F$38,3,FALSE)</f>
        <v>W3</v>
      </c>
      <c r="I35" s="328">
        <f>VLOOKUP(H35,Turnus!$D$9:$E$26,2,FALSE)</f>
        <v>114.53571428571426</v>
      </c>
      <c r="J35" s="127">
        <f t="shared" si="21"/>
        <v>1335.4864285714284</v>
      </c>
      <c r="K35" s="128">
        <f>VLOOKUP($F35,'Leistungswerte UHR Schulen'!$C$6:$F$38,4,FALSE)</f>
        <v>0</v>
      </c>
      <c r="L35" s="496" t="str">
        <f t="shared" si="9"/>
        <v/>
      </c>
      <c r="M35" s="129">
        <f t="shared" si="22"/>
        <v>0</v>
      </c>
      <c r="N35" s="547">
        <f t="shared" si="4"/>
        <v>0</v>
      </c>
      <c r="O35" s="130">
        <f t="shared" si="23"/>
        <v>0</v>
      </c>
      <c r="P35" s="131">
        <f t="shared" si="6"/>
        <v>0</v>
      </c>
      <c r="Q35" s="578">
        <f t="shared" si="10"/>
        <v>1</v>
      </c>
      <c r="R35" s="587"/>
      <c r="S35" s="482"/>
      <c r="T35" s="482"/>
      <c r="U35" s="482"/>
      <c r="V35" s="482"/>
      <c r="W35" s="482"/>
      <c r="X35" s="482"/>
      <c r="Y35" s="482"/>
      <c r="Z35" s="482"/>
      <c r="AA35" s="482"/>
      <c r="AB35" s="482"/>
      <c r="AC35" s="482"/>
      <c r="AD35" s="482"/>
      <c r="AE35" s="482"/>
      <c r="AF35" s="482"/>
      <c r="AG35" s="482"/>
      <c r="AH35" s="482"/>
      <c r="AI35" s="482"/>
      <c r="AJ35" s="482"/>
      <c r="AK35" s="482"/>
      <c r="AL35" s="482"/>
      <c r="AM35" s="482"/>
      <c r="AN35" s="482"/>
      <c r="AO35" s="482"/>
      <c r="AP35" s="482"/>
      <c r="AQ35" s="482"/>
      <c r="AR35" s="482"/>
      <c r="AS35" s="482"/>
      <c r="AT35" s="482"/>
      <c r="AU35" s="482"/>
      <c r="AV35" s="482"/>
      <c r="AW35" s="483"/>
      <c r="AX35" s="484">
        <f t="shared" si="11"/>
        <v>0</v>
      </c>
      <c r="AY35" s="501" t="str">
        <f t="shared" si="7"/>
        <v/>
      </c>
      <c r="AZ35" s="488">
        <f t="shared" si="8"/>
        <v>0</v>
      </c>
    </row>
    <row r="36" spans="1:52" s="57" customFormat="1" ht="24.9" customHeight="1" x14ac:dyDescent="0.25">
      <c r="A36" s="425" t="s">
        <v>361</v>
      </c>
      <c r="B36" s="97" t="s">
        <v>364</v>
      </c>
      <c r="C36" s="97" t="s">
        <v>414</v>
      </c>
      <c r="D36" s="145" t="s">
        <v>102</v>
      </c>
      <c r="E36" s="230" t="s">
        <v>253</v>
      </c>
      <c r="F36" s="414" t="s">
        <v>676</v>
      </c>
      <c r="G36" s="127">
        <v>70.040000000000006</v>
      </c>
      <c r="H36" s="303" t="str">
        <f>VLOOKUP($F36,'Leistungswerte UHR Schulen'!$C$6:$F$38,3,FALSE)</f>
        <v>W5</v>
      </c>
      <c r="I36" s="328">
        <f>VLOOKUP(H36,Turnus!$D$9:$E$26,2,FALSE)</f>
        <v>188.46428571428572</v>
      </c>
      <c r="J36" s="127">
        <f>+G36*I36</f>
        <v>13200.038571428573</v>
      </c>
      <c r="K36" s="128">
        <f>VLOOKUP($F36,'Leistungswerte UHR Schulen'!$C$6:$F$38,4,FALSE)</f>
        <v>0</v>
      </c>
      <c r="L36" s="496" t="str">
        <f t="shared" si="9"/>
        <v/>
      </c>
      <c r="M36" s="129">
        <f>IF(ISERROR(J36/K36),0,J36/K36)</f>
        <v>0</v>
      </c>
      <c r="N36" s="547">
        <f t="shared" si="4"/>
        <v>0</v>
      </c>
      <c r="O36" s="130">
        <f>IF(ISERROR(G36/K36*N36),0,G36/K36*N36)</f>
        <v>0</v>
      </c>
      <c r="P36" s="131">
        <f t="shared" si="6"/>
        <v>0</v>
      </c>
      <c r="Q36" s="578">
        <f t="shared" si="10"/>
        <v>1</v>
      </c>
      <c r="R36" s="587"/>
      <c r="S36" s="482"/>
      <c r="T36" s="482"/>
      <c r="U36" s="482"/>
      <c r="V36" s="482"/>
      <c r="W36" s="482"/>
      <c r="X36" s="482"/>
      <c r="Y36" s="482"/>
      <c r="Z36" s="482"/>
      <c r="AA36" s="482"/>
      <c r="AB36" s="482"/>
      <c r="AC36" s="482"/>
      <c r="AD36" s="482"/>
      <c r="AE36" s="482"/>
      <c r="AF36" s="482"/>
      <c r="AG36" s="482"/>
      <c r="AH36" s="482"/>
      <c r="AI36" s="482"/>
      <c r="AJ36" s="482"/>
      <c r="AK36" s="482"/>
      <c r="AL36" s="482"/>
      <c r="AM36" s="482"/>
      <c r="AN36" s="482"/>
      <c r="AO36" s="482"/>
      <c r="AP36" s="482"/>
      <c r="AQ36" s="482"/>
      <c r="AR36" s="482"/>
      <c r="AS36" s="482"/>
      <c r="AT36" s="482"/>
      <c r="AU36" s="482"/>
      <c r="AV36" s="482"/>
      <c r="AW36" s="483"/>
      <c r="AX36" s="484">
        <f t="shared" si="11"/>
        <v>0</v>
      </c>
      <c r="AY36" s="501" t="str">
        <f t="shared" si="7"/>
        <v/>
      </c>
      <c r="AZ36" s="488">
        <f t="shared" si="8"/>
        <v>0</v>
      </c>
    </row>
    <row r="37" spans="1:52" s="57" customFormat="1" ht="24.9" customHeight="1" x14ac:dyDescent="0.25">
      <c r="A37" s="425" t="s">
        <v>361</v>
      </c>
      <c r="B37" s="97" t="s">
        <v>364</v>
      </c>
      <c r="C37" s="97" t="s">
        <v>420</v>
      </c>
      <c r="D37" s="145" t="s">
        <v>266</v>
      </c>
      <c r="E37" s="230" t="s">
        <v>619</v>
      </c>
      <c r="F37" s="414" t="s">
        <v>674</v>
      </c>
      <c r="G37" s="127">
        <v>17.02</v>
      </c>
      <c r="H37" s="303" t="str">
        <f>VLOOKUP($F37,'Leistungswerte UHR Schulen'!$C$6:$F$38,3,FALSE)</f>
        <v>W5</v>
      </c>
      <c r="I37" s="328">
        <f>VLOOKUP(H37,Turnus!$D$9:$E$26,2,FALSE)</f>
        <v>188.46428571428572</v>
      </c>
      <c r="J37" s="127">
        <f>+G37*I37</f>
        <v>3207.662142857143</v>
      </c>
      <c r="K37" s="128">
        <f>VLOOKUP($F37,'Leistungswerte UHR Schulen'!$C$6:$F$38,4,FALSE)</f>
        <v>0</v>
      </c>
      <c r="L37" s="496" t="str">
        <f t="shared" si="9"/>
        <v/>
      </c>
      <c r="M37" s="129">
        <f>IF(ISERROR(J37/K37),0,J37/K37)</f>
        <v>0</v>
      </c>
      <c r="N37" s="547">
        <f t="shared" si="4"/>
        <v>0</v>
      </c>
      <c r="O37" s="130">
        <f>IF(ISERROR(G37/K37*N37),0,G37/K37*N37)</f>
        <v>0</v>
      </c>
      <c r="P37" s="131">
        <f t="shared" si="6"/>
        <v>0</v>
      </c>
      <c r="Q37" s="578">
        <f t="shared" si="10"/>
        <v>1</v>
      </c>
      <c r="R37" s="587"/>
      <c r="S37" s="482"/>
      <c r="T37" s="482"/>
      <c r="U37" s="482"/>
      <c r="V37" s="482"/>
      <c r="W37" s="482"/>
      <c r="X37" s="482"/>
      <c r="Y37" s="482"/>
      <c r="Z37" s="482"/>
      <c r="AA37" s="482"/>
      <c r="AB37" s="482"/>
      <c r="AC37" s="482"/>
      <c r="AD37" s="482"/>
      <c r="AE37" s="482"/>
      <c r="AF37" s="482"/>
      <c r="AG37" s="482"/>
      <c r="AH37" s="482"/>
      <c r="AI37" s="482"/>
      <c r="AJ37" s="482"/>
      <c r="AK37" s="482"/>
      <c r="AL37" s="482"/>
      <c r="AM37" s="482"/>
      <c r="AN37" s="482"/>
      <c r="AO37" s="482"/>
      <c r="AP37" s="482"/>
      <c r="AQ37" s="482"/>
      <c r="AR37" s="482"/>
      <c r="AS37" s="482"/>
      <c r="AT37" s="482"/>
      <c r="AU37" s="482"/>
      <c r="AV37" s="482"/>
      <c r="AW37" s="483"/>
      <c r="AX37" s="484">
        <f t="shared" si="11"/>
        <v>0</v>
      </c>
      <c r="AY37" s="501" t="str">
        <f t="shared" si="7"/>
        <v/>
      </c>
      <c r="AZ37" s="488">
        <f t="shared" si="8"/>
        <v>0</v>
      </c>
    </row>
    <row r="38" spans="1:52" s="57" customFormat="1" ht="24.9" customHeight="1" x14ac:dyDescent="0.25">
      <c r="A38" s="425" t="s">
        <v>361</v>
      </c>
      <c r="B38" s="97" t="s">
        <v>364</v>
      </c>
      <c r="C38" s="97" t="s">
        <v>396</v>
      </c>
      <c r="D38" s="145" t="s">
        <v>168</v>
      </c>
      <c r="E38" s="230" t="s">
        <v>253</v>
      </c>
      <c r="F38" s="414" t="s">
        <v>708</v>
      </c>
      <c r="G38" s="127">
        <v>12.02</v>
      </c>
      <c r="H38" s="303" t="str">
        <f>VLOOKUP($F38,'Leistungswerte UHR Schulen'!$C$6:$F$38,3,FALSE)</f>
        <v>kR</v>
      </c>
      <c r="I38" s="328">
        <f>VLOOKUP(H38,Turnus!$D$9:$E$26,2,FALSE)</f>
        <v>0</v>
      </c>
      <c r="J38" s="127">
        <f t="shared" si="21"/>
        <v>0</v>
      </c>
      <c r="K38" s="128">
        <f>VLOOKUP($F38,'Leistungswerte UHR Schulen'!$C$6:$F$38,4,FALSE)</f>
        <v>0</v>
      </c>
      <c r="L38" s="496" t="str">
        <f t="shared" si="9"/>
        <v/>
      </c>
      <c r="M38" s="129">
        <f t="shared" si="22"/>
        <v>0</v>
      </c>
      <c r="N38" s="547">
        <f t="shared" si="4"/>
        <v>0</v>
      </c>
      <c r="O38" s="130">
        <f t="shared" si="23"/>
        <v>0</v>
      </c>
      <c r="P38" s="131">
        <f t="shared" si="6"/>
        <v>0</v>
      </c>
      <c r="Q38" s="578">
        <f t="shared" si="10"/>
        <v>1</v>
      </c>
      <c r="R38" s="587"/>
      <c r="S38" s="482"/>
      <c r="T38" s="482"/>
      <c r="U38" s="482"/>
      <c r="V38" s="482"/>
      <c r="W38" s="482"/>
      <c r="X38" s="482"/>
      <c r="Y38" s="482"/>
      <c r="Z38" s="482"/>
      <c r="AA38" s="482"/>
      <c r="AB38" s="482"/>
      <c r="AC38" s="482"/>
      <c r="AD38" s="482"/>
      <c r="AE38" s="482"/>
      <c r="AF38" s="482"/>
      <c r="AG38" s="482"/>
      <c r="AH38" s="482"/>
      <c r="AI38" s="482"/>
      <c r="AJ38" s="482"/>
      <c r="AK38" s="482"/>
      <c r="AL38" s="482"/>
      <c r="AM38" s="482"/>
      <c r="AN38" s="482"/>
      <c r="AO38" s="482"/>
      <c r="AP38" s="482"/>
      <c r="AQ38" s="482"/>
      <c r="AR38" s="482"/>
      <c r="AS38" s="482"/>
      <c r="AT38" s="482"/>
      <c r="AU38" s="482"/>
      <c r="AV38" s="482"/>
      <c r="AW38" s="483"/>
      <c r="AX38" s="484">
        <f t="shared" si="11"/>
        <v>0</v>
      </c>
      <c r="AY38" s="501" t="str">
        <f t="shared" si="7"/>
        <v/>
      </c>
      <c r="AZ38" s="488">
        <f t="shared" si="8"/>
        <v>0</v>
      </c>
    </row>
    <row r="39" spans="1:52" s="57" customFormat="1" ht="24.9" customHeight="1" x14ac:dyDescent="0.25">
      <c r="A39" s="425" t="s">
        <v>361</v>
      </c>
      <c r="B39" s="97" t="s">
        <v>364</v>
      </c>
      <c r="C39" s="97" t="s">
        <v>397</v>
      </c>
      <c r="D39" s="145" t="s">
        <v>398</v>
      </c>
      <c r="E39" s="230" t="s">
        <v>253</v>
      </c>
      <c r="F39" s="414" t="s">
        <v>893</v>
      </c>
      <c r="G39" s="127">
        <v>70.44</v>
      </c>
      <c r="H39" s="303" t="str">
        <f>VLOOKUP($F39,'Leistungswerte UHR Schulen'!$C$6:$F$38,3,FALSE)</f>
        <v>W3</v>
      </c>
      <c r="I39" s="328">
        <f>VLOOKUP(H39,Turnus!$D$9:$E$26,2,FALSE)</f>
        <v>114.53571428571426</v>
      </c>
      <c r="J39" s="127">
        <f t="shared" si="21"/>
        <v>8067.8957142857125</v>
      </c>
      <c r="K39" s="128">
        <f>VLOOKUP($F39,'Leistungswerte UHR Schulen'!$C$6:$F$38,4,FALSE)</f>
        <v>0</v>
      </c>
      <c r="L39" s="496" t="str">
        <f t="shared" si="9"/>
        <v/>
      </c>
      <c r="M39" s="129">
        <f t="shared" si="22"/>
        <v>0</v>
      </c>
      <c r="N39" s="547">
        <f t="shared" si="4"/>
        <v>0</v>
      </c>
      <c r="O39" s="130">
        <f t="shared" si="23"/>
        <v>0</v>
      </c>
      <c r="P39" s="131">
        <f t="shared" si="6"/>
        <v>0</v>
      </c>
      <c r="Q39" s="578">
        <f t="shared" si="10"/>
        <v>1</v>
      </c>
      <c r="R39" s="587"/>
      <c r="S39" s="482"/>
      <c r="T39" s="482"/>
      <c r="U39" s="482"/>
      <c r="V39" s="482"/>
      <c r="W39" s="482"/>
      <c r="X39" s="482"/>
      <c r="Y39" s="482"/>
      <c r="Z39" s="482"/>
      <c r="AA39" s="482"/>
      <c r="AB39" s="482"/>
      <c r="AC39" s="482"/>
      <c r="AD39" s="482"/>
      <c r="AE39" s="482"/>
      <c r="AF39" s="482"/>
      <c r="AG39" s="482"/>
      <c r="AH39" s="482"/>
      <c r="AI39" s="482"/>
      <c r="AJ39" s="482"/>
      <c r="AK39" s="482"/>
      <c r="AL39" s="482"/>
      <c r="AM39" s="482"/>
      <c r="AN39" s="482"/>
      <c r="AO39" s="482"/>
      <c r="AP39" s="482"/>
      <c r="AQ39" s="482"/>
      <c r="AR39" s="482"/>
      <c r="AS39" s="482"/>
      <c r="AT39" s="482"/>
      <c r="AU39" s="482"/>
      <c r="AV39" s="482"/>
      <c r="AW39" s="483"/>
      <c r="AX39" s="484">
        <f t="shared" si="11"/>
        <v>0</v>
      </c>
      <c r="AY39" s="501" t="str">
        <f t="shared" si="7"/>
        <v/>
      </c>
      <c r="AZ39" s="488">
        <f t="shared" si="8"/>
        <v>0</v>
      </c>
    </row>
    <row r="40" spans="1:52" s="57" customFormat="1" ht="24.9" customHeight="1" x14ac:dyDescent="0.25">
      <c r="A40" s="425" t="s">
        <v>361</v>
      </c>
      <c r="B40" s="97" t="s">
        <v>364</v>
      </c>
      <c r="C40" s="97" t="s">
        <v>415</v>
      </c>
      <c r="D40" s="145" t="s">
        <v>102</v>
      </c>
      <c r="E40" s="230" t="s">
        <v>253</v>
      </c>
      <c r="F40" s="414" t="s">
        <v>676</v>
      </c>
      <c r="G40" s="127">
        <v>25.02</v>
      </c>
      <c r="H40" s="303" t="str">
        <f>VLOOKUP($F40,'Leistungswerte UHR Schulen'!$C$6:$F$38,3,FALSE)</f>
        <v>W5</v>
      </c>
      <c r="I40" s="328">
        <f>VLOOKUP(H40,Turnus!$D$9:$E$26,2,FALSE)</f>
        <v>188.46428571428572</v>
      </c>
      <c r="J40" s="127">
        <f>+G40*I40</f>
        <v>4715.3764285714287</v>
      </c>
      <c r="K40" s="128">
        <f>VLOOKUP($F40,'Leistungswerte UHR Schulen'!$C$6:$F$38,4,FALSE)</f>
        <v>0</v>
      </c>
      <c r="L40" s="496" t="str">
        <f t="shared" si="9"/>
        <v/>
      </c>
      <c r="M40" s="129">
        <f>IF(ISERROR(J40/K40),0,J40/K40)</f>
        <v>0</v>
      </c>
      <c r="N40" s="547">
        <f t="shared" si="4"/>
        <v>0</v>
      </c>
      <c r="O40" s="130">
        <f>IF(ISERROR(G40/K40*N40),0,G40/K40*N40)</f>
        <v>0</v>
      </c>
      <c r="P40" s="131">
        <f t="shared" si="6"/>
        <v>0</v>
      </c>
      <c r="Q40" s="578">
        <f t="shared" si="10"/>
        <v>1</v>
      </c>
      <c r="R40" s="587"/>
      <c r="S40" s="482"/>
      <c r="T40" s="482"/>
      <c r="U40" s="482"/>
      <c r="V40" s="482"/>
      <c r="W40" s="482"/>
      <c r="X40" s="482"/>
      <c r="Y40" s="482"/>
      <c r="Z40" s="482"/>
      <c r="AA40" s="482"/>
      <c r="AB40" s="482"/>
      <c r="AC40" s="482"/>
      <c r="AD40" s="482"/>
      <c r="AE40" s="482"/>
      <c r="AF40" s="482"/>
      <c r="AG40" s="482"/>
      <c r="AH40" s="482"/>
      <c r="AI40" s="482"/>
      <c r="AJ40" s="482"/>
      <c r="AK40" s="482"/>
      <c r="AL40" s="482"/>
      <c r="AM40" s="482"/>
      <c r="AN40" s="482"/>
      <c r="AO40" s="482"/>
      <c r="AP40" s="482"/>
      <c r="AQ40" s="482"/>
      <c r="AR40" s="482"/>
      <c r="AS40" s="482"/>
      <c r="AT40" s="482"/>
      <c r="AU40" s="482"/>
      <c r="AV40" s="482"/>
      <c r="AW40" s="483"/>
      <c r="AX40" s="484">
        <f t="shared" si="11"/>
        <v>0</v>
      </c>
      <c r="AY40" s="501" t="str">
        <f t="shared" si="7"/>
        <v/>
      </c>
      <c r="AZ40" s="488">
        <f t="shared" si="8"/>
        <v>0</v>
      </c>
    </row>
    <row r="41" spans="1:52" s="57" customFormat="1" ht="24.9" customHeight="1" x14ac:dyDescent="0.25">
      <c r="A41" s="425" t="s">
        <v>361</v>
      </c>
      <c r="B41" s="97" t="s">
        <v>364</v>
      </c>
      <c r="C41" s="97" t="s">
        <v>399</v>
      </c>
      <c r="D41" s="145" t="s">
        <v>252</v>
      </c>
      <c r="E41" s="230" t="s">
        <v>253</v>
      </c>
      <c r="F41" s="414" t="s">
        <v>901</v>
      </c>
      <c r="G41" s="127">
        <v>11.66</v>
      </c>
      <c r="H41" s="303" t="str">
        <f>VLOOKUP($F41,'Leistungswerte UHR Schulen'!$C$6:$F$38,3,FALSE)</f>
        <v>W3</v>
      </c>
      <c r="I41" s="328">
        <f>VLOOKUP(H41,Turnus!$D$9:$E$26,2,FALSE)</f>
        <v>114.53571428571426</v>
      </c>
      <c r="J41" s="127">
        <f t="shared" si="21"/>
        <v>1335.4864285714284</v>
      </c>
      <c r="K41" s="128">
        <f>VLOOKUP($F41,'Leistungswerte UHR Schulen'!$C$6:$F$38,4,FALSE)</f>
        <v>0</v>
      </c>
      <c r="L41" s="496" t="str">
        <f t="shared" si="9"/>
        <v/>
      </c>
      <c r="M41" s="129">
        <f t="shared" si="22"/>
        <v>0</v>
      </c>
      <c r="N41" s="547">
        <f t="shared" si="4"/>
        <v>0</v>
      </c>
      <c r="O41" s="130">
        <f t="shared" si="23"/>
        <v>0</v>
      </c>
      <c r="P41" s="131">
        <f t="shared" si="6"/>
        <v>0</v>
      </c>
      <c r="Q41" s="578">
        <f t="shared" si="10"/>
        <v>1</v>
      </c>
      <c r="R41" s="587"/>
      <c r="S41" s="482"/>
      <c r="T41" s="482"/>
      <c r="U41" s="482"/>
      <c r="V41" s="482"/>
      <c r="W41" s="482"/>
      <c r="X41" s="482"/>
      <c r="Y41" s="482"/>
      <c r="Z41" s="482"/>
      <c r="AA41" s="482"/>
      <c r="AB41" s="482"/>
      <c r="AC41" s="482"/>
      <c r="AD41" s="482"/>
      <c r="AE41" s="482"/>
      <c r="AF41" s="482"/>
      <c r="AG41" s="482"/>
      <c r="AH41" s="482"/>
      <c r="AI41" s="482"/>
      <c r="AJ41" s="482"/>
      <c r="AK41" s="482"/>
      <c r="AL41" s="482"/>
      <c r="AM41" s="482"/>
      <c r="AN41" s="482"/>
      <c r="AO41" s="482"/>
      <c r="AP41" s="482"/>
      <c r="AQ41" s="482"/>
      <c r="AR41" s="482"/>
      <c r="AS41" s="482"/>
      <c r="AT41" s="482"/>
      <c r="AU41" s="482"/>
      <c r="AV41" s="482"/>
      <c r="AW41" s="483"/>
      <c r="AX41" s="484">
        <f t="shared" si="11"/>
        <v>0</v>
      </c>
      <c r="AY41" s="501" t="str">
        <f t="shared" si="7"/>
        <v/>
      </c>
      <c r="AZ41" s="488">
        <f t="shared" si="8"/>
        <v>0</v>
      </c>
    </row>
    <row r="42" spans="1:52" s="57" customFormat="1" ht="24.9" customHeight="1" x14ac:dyDescent="0.25">
      <c r="A42" s="425" t="s">
        <v>361</v>
      </c>
      <c r="B42" s="97" t="s">
        <v>364</v>
      </c>
      <c r="C42" s="97" t="s">
        <v>400</v>
      </c>
      <c r="D42" s="145" t="s">
        <v>401</v>
      </c>
      <c r="E42" s="230" t="s">
        <v>253</v>
      </c>
      <c r="F42" s="414" t="s">
        <v>890</v>
      </c>
      <c r="G42" s="127">
        <v>69.63</v>
      </c>
      <c r="H42" s="303" t="str">
        <f>VLOOKUP($F42,'Leistungswerte UHR Schulen'!$C$6:$F$38,3,FALSE)</f>
        <v>W3</v>
      </c>
      <c r="I42" s="328">
        <f>VLOOKUP(H42,Turnus!$D$9:$E$26,2,FALSE)</f>
        <v>114.53571428571426</v>
      </c>
      <c r="J42" s="127">
        <f t="shared" si="21"/>
        <v>7975.1217857142838</v>
      </c>
      <c r="K42" s="128">
        <f>VLOOKUP($F42,'Leistungswerte UHR Schulen'!$C$6:$F$38,4,FALSE)</f>
        <v>0</v>
      </c>
      <c r="L42" s="496" t="str">
        <f t="shared" si="9"/>
        <v/>
      </c>
      <c r="M42" s="129">
        <f t="shared" si="22"/>
        <v>0</v>
      </c>
      <c r="N42" s="547">
        <f t="shared" si="4"/>
        <v>0</v>
      </c>
      <c r="O42" s="130">
        <f t="shared" si="23"/>
        <v>0</v>
      </c>
      <c r="P42" s="131">
        <f t="shared" si="6"/>
        <v>0</v>
      </c>
      <c r="Q42" s="578">
        <f t="shared" si="10"/>
        <v>1</v>
      </c>
      <c r="R42" s="587"/>
      <c r="S42" s="482"/>
      <c r="T42" s="482"/>
      <c r="U42" s="482"/>
      <c r="V42" s="482"/>
      <c r="W42" s="482"/>
      <c r="X42" s="482"/>
      <c r="Y42" s="482"/>
      <c r="Z42" s="482"/>
      <c r="AA42" s="482"/>
      <c r="AB42" s="482"/>
      <c r="AC42" s="482"/>
      <c r="AD42" s="482"/>
      <c r="AE42" s="482"/>
      <c r="AF42" s="482"/>
      <c r="AG42" s="482"/>
      <c r="AH42" s="482"/>
      <c r="AI42" s="482"/>
      <c r="AJ42" s="482"/>
      <c r="AK42" s="482"/>
      <c r="AL42" s="482"/>
      <c r="AM42" s="482"/>
      <c r="AN42" s="482"/>
      <c r="AO42" s="482"/>
      <c r="AP42" s="482"/>
      <c r="AQ42" s="482"/>
      <c r="AR42" s="482"/>
      <c r="AS42" s="482"/>
      <c r="AT42" s="482"/>
      <c r="AU42" s="482"/>
      <c r="AV42" s="482"/>
      <c r="AW42" s="483"/>
      <c r="AX42" s="484">
        <f t="shared" si="11"/>
        <v>0</v>
      </c>
      <c r="AY42" s="501" t="str">
        <f t="shared" si="7"/>
        <v/>
      </c>
      <c r="AZ42" s="488">
        <f t="shared" si="8"/>
        <v>0</v>
      </c>
    </row>
    <row r="43" spans="1:52" s="57" customFormat="1" ht="24.9" customHeight="1" x14ac:dyDescent="0.25">
      <c r="A43" s="425" t="s">
        <v>361</v>
      </c>
      <c r="B43" s="97" t="s">
        <v>364</v>
      </c>
      <c r="C43" s="97" t="s">
        <v>402</v>
      </c>
      <c r="D43" s="145" t="s">
        <v>259</v>
      </c>
      <c r="E43" s="230" t="s">
        <v>253</v>
      </c>
      <c r="F43" s="414" t="s">
        <v>897</v>
      </c>
      <c r="G43" s="127">
        <v>27.22</v>
      </c>
      <c r="H43" s="303" t="str">
        <f>VLOOKUP($F43,'Leistungswerte UHR Schulen'!$C$6:$F$38,3,FALSE)</f>
        <v>W3</v>
      </c>
      <c r="I43" s="328">
        <f>VLOOKUP(H43,Turnus!$D$9:$E$26,2,FALSE)</f>
        <v>114.53571428571426</v>
      </c>
      <c r="J43" s="127">
        <f t="shared" si="21"/>
        <v>3117.662142857142</v>
      </c>
      <c r="K43" s="128">
        <f>VLOOKUP($F43,'Leistungswerte UHR Schulen'!$C$6:$F$38,4,FALSE)</f>
        <v>0</v>
      </c>
      <c r="L43" s="496" t="str">
        <f t="shared" si="9"/>
        <v/>
      </c>
      <c r="M43" s="129">
        <f t="shared" si="22"/>
        <v>0</v>
      </c>
      <c r="N43" s="547">
        <f t="shared" si="4"/>
        <v>0</v>
      </c>
      <c r="O43" s="130">
        <f t="shared" si="23"/>
        <v>0</v>
      </c>
      <c r="P43" s="131">
        <f t="shared" si="6"/>
        <v>0</v>
      </c>
      <c r="Q43" s="578">
        <f t="shared" si="10"/>
        <v>1</v>
      </c>
      <c r="R43" s="587"/>
      <c r="S43" s="482"/>
      <c r="T43" s="482"/>
      <c r="U43" s="482"/>
      <c r="V43" s="482"/>
      <c r="W43" s="482"/>
      <c r="X43" s="482"/>
      <c r="Y43" s="482"/>
      <c r="Z43" s="482"/>
      <c r="AA43" s="482"/>
      <c r="AB43" s="482"/>
      <c r="AC43" s="482"/>
      <c r="AD43" s="482"/>
      <c r="AE43" s="482"/>
      <c r="AF43" s="482"/>
      <c r="AG43" s="482"/>
      <c r="AH43" s="482"/>
      <c r="AI43" s="482"/>
      <c r="AJ43" s="482"/>
      <c r="AK43" s="482"/>
      <c r="AL43" s="482"/>
      <c r="AM43" s="482"/>
      <c r="AN43" s="482"/>
      <c r="AO43" s="482"/>
      <c r="AP43" s="482"/>
      <c r="AQ43" s="482"/>
      <c r="AR43" s="482"/>
      <c r="AS43" s="482"/>
      <c r="AT43" s="482"/>
      <c r="AU43" s="482"/>
      <c r="AV43" s="482"/>
      <c r="AW43" s="483"/>
      <c r="AX43" s="484">
        <f t="shared" si="11"/>
        <v>0</v>
      </c>
      <c r="AY43" s="501" t="str">
        <f t="shared" si="7"/>
        <v/>
      </c>
      <c r="AZ43" s="488">
        <f t="shared" si="8"/>
        <v>0</v>
      </c>
    </row>
    <row r="44" spans="1:52" s="57" customFormat="1" ht="24.9" customHeight="1" x14ac:dyDescent="0.25">
      <c r="A44" s="425" t="s">
        <v>361</v>
      </c>
      <c r="B44" s="97" t="s">
        <v>364</v>
      </c>
      <c r="C44" s="97" t="s">
        <v>403</v>
      </c>
      <c r="D44" s="145" t="s">
        <v>404</v>
      </c>
      <c r="E44" s="230" t="s">
        <v>253</v>
      </c>
      <c r="F44" s="414" t="s">
        <v>890</v>
      </c>
      <c r="G44" s="127">
        <v>69.63</v>
      </c>
      <c r="H44" s="303" t="str">
        <f>VLOOKUP($F44,'Leistungswerte UHR Schulen'!$C$6:$F$38,3,FALSE)</f>
        <v>W3</v>
      </c>
      <c r="I44" s="328">
        <f>VLOOKUP(H44,Turnus!$D$9:$E$26,2,FALSE)</f>
        <v>114.53571428571426</v>
      </c>
      <c r="J44" s="127">
        <f t="shared" si="21"/>
        <v>7975.1217857142838</v>
      </c>
      <c r="K44" s="128">
        <f>VLOOKUP($F44,'Leistungswerte UHR Schulen'!$C$6:$F$38,4,FALSE)</f>
        <v>0</v>
      </c>
      <c r="L44" s="496" t="str">
        <f t="shared" si="9"/>
        <v/>
      </c>
      <c r="M44" s="129">
        <f t="shared" si="22"/>
        <v>0</v>
      </c>
      <c r="N44" s="547">
        <f t="shared" si="4"/>
        <v>0</v>
      </c>
      <c r="O44" s="130">
        <f t="shared" si="23"/>
        <v>0</v>
      </c>
      <c r="P44" s="131">
        <f t="shared" si="6"/>
        <v>0</v>
      </c>
      <c r="Q44" s="578">
        <f t="shared" si="10"/>
        <v>1</v>
      </c>
      <c r="R44" s="587"/>
      <c r="S44" s="482"/>
      <c r="T44" s="482"/>
      <c r="U44" s="482"/>
      <c r="V44" s="482"/>
      <c r="W44" s="482"/>
      <c r="X44" s="482"/>
      <c r="Y44" s="482"/>
      <c r="Z44" s="482"/>
      <c r="AA44" s="482"/>
      <c r="AB44" s="482"/>
      <c r="AC44" s="482"/>
      <c r="AD44" s="482"/>
      <c r="AE44" s="482"/>
      <c r="AF44" s="482"/>
      <c r="AG44" s="482"/>
      <c r="AH44" s="482"/>
      <c r="AI44" s="482"/>
      <c r="AJ44" s="482"/>
      <c r="AK44" s="482"/>
      <c r="AL44" s="482"/>
      <c r="AM44" s="482"/>
      <c r="AN44" s="482"/>
      <c r="AO44" s="482"/>
      <c r="AP44" s="482"/>
      <c r="AQ44" s="482"/>
      <c r="AR44" s="482"/>
      <c r="AS44" s="482"/>
      <c r="AT44" s="482"/>
      <c r="AU44" s="482"/>
      <c r="AV44" s="482"/>
      <c r="AW44" s="483"/>
      <c r="AX44" s="484">
        <f t="shared" si="11"/>
        <v>0</v>
      </c>
      <c r="AY44" s="501" t="str">
        <f t="shared" si="7"/>
        <v/>
      </c>
      <c r="AZ44" s="488">
        <f t="shared" si="8"/>
        <v>0</v>
      </c>
    </row>
    <row r="45" spans="1:52" s="57" customFormat="1" ht="24.9" customHeight="1" x14ac:dyDescent="0.25">
      <c r="A45" s="425" t="s">
        <v>361</v>
      </c>
      <c r="B45" s="97" t="s">
        <v>364</v>
      </c>
      <c r="C45" s="97" t="s">
        <v>405</v>
      </c>
      <c r="D45" s="145" t="s">
        <v>252</v>
      </c>
      <c r="E45" s="230" t="s">
        <v>253</v>
      </c>
      <c r="F45" s="414" t="s">
        <v>901</v>
      </c>
      <c r="G45" s="127">
        <v>11.66</v>
      </c>
      <c r="H45" s="303" t="str">
        <f>VLOOKUP($F45,'Leistungswerte UHR Schulen'!$C$6:$F$38,3,FALSE)</f>
        <v>W3</v>
      </c>
      <c r="I45" s="328">
        <f>VLOOKUP(H45,Turnus!$D$9:$E$26,2,FALSE)</f>
        <v>114.53571428571426</v>
      </c>
      <c r="J45" s="127">
        <f t="shared" si="21"/>
        <v>1335.4864285714284</v>
      </c>
      <c r="K45" s="128">
        <f>VLOOKUP($F45,'Leistungswerte UHR Schulen'!$C$6:$F$38,4,FALSE)</f>
        <v>0</v>
      </c>
      <c r="L45" s="496" t="str">
        <f t="shared" si="9"/>
        <v/>
      </c>
      <c r="M45" s="129">
        <f t="shared" si="22"/>
        <v>0</v>
      </c>
      <c r="N45" s="547">
        <f t="shared" si="4"/>
        <v>0</v>
      </c>
      <c r="O45" s="130">
        <f t="shared" si="23"/>
        <v>0</v>
      </c>
      <c r="P45" s="131">
        <f t="shared" si="6"/>
        <v>0</v>
      </c>
      <c r="Q45" s="578">
        <f t="shared" si="10"/>
        <v>1</v>
      </c>
      <c r="R45" s="587"/>
      <c r="S45" s="482"/>
      <c r="T45" s="482"/>
      <c r="U45" s="482"/>
      <c r="V45" s="482"/>
      <c r="W45" s="482"/>
      <c r="X45" s="482"/>
      <c r="Y45" s="482"/>
      <c r="Z45" s="482"/>
      <c r="AA45" s="482"/>
      <c r="AB45" s="482"/>
      <c r="AC45" s="482"/>
      <c r="AD45" s="482"/>
      <c r="AE45" s="482"/>
      <c r="AF45" s="482"/>
      <c r="AG45" s="482"/>
      <c r="AH45" s="482"/>
      <c r="AI45" s="482"/>
      <c r="AJ45" s="482"/>
      <c r="AK45" s="482"/>
      <c r="AL45" s="482"/>
      <c r="AM45" s="482"/>
      <c r="AN45" s="482"/>
      <c r="AO45" s="482"/>
      <c r="AP45" s="482"/>
      <c r="AQ45" s="482"/>
      <c r="AR45" s="482"/>
      <c r="AS45" s="482"/>
      <c r="AT45" s="482"/>
      <c r="AU45" s="482"/>
      <c r="AV45" s="482"/>
      <c r="AW45" s="483"/>
      <c r="AX45" s="484">
        <f t="shared" si="11"/>
        <v>0</v>
      </c>
      <c r="AY45" s="501" t="str">
        <f t="shared" si="7"/>
        <v/>
      </c>
      <c r="AZ45" s="488">
        <f t="shared" si="8"/>
        <v>0</v>
      </c>
    </row>
    <row r="46" spans="1:52" s="57" customFormat="1" ht="24.9" customHeight="1" x14ac:dyDescent="0.25">
      <c r="A46" s="425" t="s">
        <v>361</v>
      </c>
      <c r="B46" s="97" t="s">
        <v>364</v>
      </c>
      <c r="C46" s="97" t="s">
        <v>416</v>
      </c>
      <c r="D46" s="145" t="s">
        <v>102</v>
      </c>
      <c r="E46" s="230" t="s">
        <v>253</v>
      </c>
      <c r="F46" s="414" t="s">
        <v>676</v>
      </c>
      <c r="G46" s="127">
        <v>82.64</v>
      </c>
      <c r="H46" s="303" t="str">
        <f>VLOOKUP($F46,'Leistungswerte UHR Schulen'!$C$6:$F$38,3,FALSE)</f>
        <v>W5</v>
      </c>
      <c r="I46" s="328">
        <f>VLOOKUP(H46,Turnus!$D$9:$E$26,2,FALSE)</f>
        <v>188.46428571428572</v>
      </c>
      <c r="J46" s="127">
        <f t="shared" ref="J46:J63" si="24">+G46*I46</f>
        <v>15574.688571428573</v>
      </c>
      <c r="K46" s="128">
        <f>VLOOKUP($F46,'Leistungswerte UHR Schulen'!$C$6:$F$38,4,FALSE)</f>
        <v>0</v>
      </c>
      <c r="L46" s="496" t="str">
        <f t="shared" si="9"/>
        <v/>
      </c>
      <c r="M46" s="129">
        <f t="shared" ref="M46:M63" si="25">IF(ISERROR(J46/K46),0,J46/K46)</f>
        <v>0</v>
      </c>
      <c r="N46" s="547">
        <f t="shared" si="4"/>
        <v>0</v>
      </c>
      <c r="O46" s="130">
        <f t="shared" ref="O46:O63" si="26">IF(ISERROR(G46/K46*N46),0,G46/K46*N46)</f>
        <v>0</v>
      </c>
      <c r="P46" s="131">
        <f t="shared" si="6"/>
        <v>0</v>
      </c>
      <c r="Q46" s="578">
        <f t="shared" si="10"/>
        <v>1</v>
      </c>
      <c r="R46" s="587"/>
      <c r="S46" s="482"/>
      <c r="T46" s="482"/>
      <c r="U46" s="482"/>
      <c r="V46" s="482"/>
      <c r="W46" s="482"/>
      <c r="X46" s="482"/>
      <c r="Y46" s="482"/>
      <c r="Z46" s="482"/>
      <c r="AA46" s="482"/>
      <c r="AB46" s="482"/>
      <c r="AC46" s="482"/>
      <c r="AD46" s="482"/>
      <c r="AE46" s="482"/>
      <c r="AF46" s="482"/>
      <c r="AG46" s="482"/>
      <c r="AH46" s="482"/>
      <c r="AI46" s="482"/>
      <c r="AJ46" s="482"/>
      <c r="AK46" s="482"/>
      <c r="AL46" s="482"/>
      <c r="AM46" s="482"/>
      <c r="AN46" s="482"/>
      <c r="AO46" s="482"/>
      <c r="AP46" s="482"/>
      <c r="AQ46" s="482"/>
      <c r="AR46" s="482"/>
      <c r="AS46" s="482"/>
      <c r="AT46" s="482"/>
      <c r="AU46" s="482"/>
      <c r="AV46" s="482"/>
      <c r="AW46" s="483"/>
      <c r="AX46" s="484">
        <f t="shared" si="11"/>
        <v>0</v>
      </c>
      <c r="AY46" s="501" t="str">
        <f t="shared" si="7"/>
        <v/>
      </c>
      <c r="AZ46" s="488">
        <f t="shared" si="8"/>
        <v>0</v>
      </c>
    </row>
    <row r="47" spans="1:52" s="57" customFormat="1" ht="24.9" customHeight="1" x14ac:dyDescent="0.25">
      <c r="A47" s="425" t="s">
        <v>361</v>
      </c>
      <c r="B47" s="97" t="s">
        <v>364</v>
      </c>
      <c r="C47" s="97" t="s">
        <v>422</v>
      </c>
      <c r="D47" s="145" t="s">
        <v>883</v>
      </c>
      <c r="E47" s="230" t="s">
        <v>619</v>
      </c>
      <c r="F47" s="414" t="s">
        <v>708</v>
      </c>
      <c r="G47" s="127">
        <v>28.44</v>
      </c>
      <c r="H47" s="303" t="str">
        <f>VLOOKUP($F47,'Leistungswerte UHR Schulen'!$C$6:$F$38,3,FALSE)</f>
        <v>kR</v>
      </c>
      <c r="I47" s="328">
        <f>VLOOKUP(H47,Turnus!$D$9:$E$26,2,FALSE)</f>
        <v>0</v>
      </c>
      <c r="J47" s="127">
        <f t="shared" si="24"/>
        <v>0</v>
      </c>
      <c r="K47" s="128">
        <f>VLOOKUP($F47,'Leistungswerte UHR Schulen'!$C$6:$F$38,4,FALSE)</f>
        <v>0</v>
      </c>
      <c r="L47" s="496" t="str">
        <f t="shared" si="9"/>
        <v/>
      </c>
      <c r="M47" s="129">
        <f t="shared" si="25"/>
        <v>0</v>
      </c>
      <c r="N47" s="547">
        <f t="shared" si="4"/>
        <v>0</v>
      </c>
      <c r="O47" s="130">
        <f t="shared" si="26"/>
        <v>0</v>
      </c>
      <c r="P47" s="131">
        <f t="shared" si="6"/>
        <v>0</v>
      </c>
      <c r="Q47" s="578">
        <f t="shared" si="10"/>
        <v>1</v>
      </c>
      <c r="R47" s="587"/>
      <c r="S47" s="482"/>
      <c r="T47" s="482"/>
      <c r="U47" s="482"/>
      <c r="V47" s="482"/>
      <c r="W47" s="482"/>
      <c r="X47" s="482"/>
      <c r="Y47" s="482"/>
      <c r="Z47" s="482"/>
      <c r="AA47" s="482"/>
      <c r="AB47" s="482"/>
      <c r="AC47" s="482"/>
      <c r="AD47" s="482"/>
      <c r="AE47" s="482"/>
      <c r="AF47" s="482"/>
      <c r="AG47" s="482"/>
      <c r="AH47" s="482"/>
      <c r="AI47" s="482"/>
      <c r="AJ47" s="482"/>
      <c r="AK47" s="482"/>
      <c r="AL47" s="482"/>
      <c r="AM47" s="482"/>
      <c r="AN47" s="482"/>
      <c r="AO47" s="482"/>
      <c r="AP47" s="482"/>
      <c r="AQ47" s="482"/>
      <c r="AR47" s="482"/>
      <c r="AS47" s="482"/>
      <c r="AT47" s="482"/>
      <c r="AU47" s="482"/>
      <c r="AV47" s="482"/>
      <c r="AW47" s="483"/>
      <c r="AX47" s="484">
        <f t="shared" si="11"/>
        <v>0</v>
      </c>
      <c r="AY47" s="501" t="str">
        <f t="shared" si="7"/>
        <v/>
      </c>
      <c r="AZ47" s="488">
        <f t="shared" si="8"/>
        <v>0</v>
      </c>
    </row>
    <row r="48" spans="1:52" s="57" customFormat="1" ht="24.9" customHeight="1" x14ac:dyDescent="0.25">
      <c r="A48" s="425" t="s">
        <v>361</v>
      </c>
      <c r="B48" s="97" t="s">
        <v>364</v>
      </c>
      <c r="C48" s="97" t="s">
        <v>882</v>
      </c>
      <c r="D48" s="145" t="s">
        <v>947</v>
      </c>
      <c r="E48" s="230" t="s">
        <v>734</v>
      </c>
      <c r="F48" s="414" t="s">
        <v>708</v>
      </c>
      <c r="G48" s="127"/>
      <c r="H48" s="303" t="str">
        <f>VLOOKUP($F48,'Leistungswerte UHR Schulen'!$C$6:$F$38,3,FALSE)</f>
        <v>kR</v>
      </c>
      <c r="I48" s="328">
        <f>VLOOKUP(H48,Turnus!$D$9:$E$26,2,FALSE)</f>
        <v>0</v>
      </c>
      <c r="J48" s="127">
        <f t="shared" si="24"/>
        <v>0</v>
      </c>
      <c r="K48" s="128">
        <f>VLOOKUP($F48,'Leistungswerte UHR Schulen'!$C$6:$F$38,4,FALSE)</f>
        <v>0</v>
      </c>
      <c r="L48" s="496" t="str">
        <f t="shared" si="9"/>
        <v/>
      </c>
      <c r="M48" s="129">
        <f t="shared" si="25"/>
        <v>0</v>
      </c>
      <c r="N48" s="547">
        <f t="shared" si="4"/>
        <v>0</v>
      </c>
      <c r="O48" s="130">
        <f t="shared" si="26"/>
        <v>0</v>
      </c>
      <c r="P48" s="131">
        <f t="shared" si="6"/>
        <v>0</v>
      </c>
      <c r="Q48" s="578">
        <f t="shared" si="10"/>
        <v>1</v>
      </c>
      <c r="R48" s="587"/>
      <c r="S48" s="482"/>
      <c r="T48" s="482"/>
      <c r="U48" s="482"/>
      <c r="V48" s="482"/>
      <c r="W48" s="482"/>
      <c r="X48" s="482"/>
      <c r="Y48" s="482"/>
      <c r="Z48" s="482"/>
      <c r="AA48" s="482"/>
      <c r="AB48" s="482"/>
      <c r="AC48" s="482"/>
      <c r="AD48" s="482"/>
      <c r="AE48" s="482"/>
      <c r="AF48" s="482"/>
      <c r="AG48" s="482"/>
      <c r="AH48" s="482"/>
      <c r="AI48" s="482"/>
      <c r="AJ48" s="482"/>
      <c r="AK48" s="482"/>
      <c r="AL48" s="482"/>
      <c r="AM48" s="482"/>
      <c r="AN48" s="482"/>
      <c r="AO48" s="482"/>
      <c r="AP48" s="482"/>
      <c r="AQ48" s="482"/>
      <c r="AR48" s="482"/>
      <c r="AS48" s="482"/>
      <c r="AT48" s="482"/>
      <c r="AU48" s="482"/>
      <c r="AV48" s="482"/>
      <c r="AW48" s="483"/>
      <c r="AX48" s="484">
        <f t="shared" si="11"/>
        <v>0</v>
      </c>
      <c r="AY48" s="501" t="str">
        <f t="shared" si="7"/>
        <v/>
      </c>
      <c r="AZ48" s="488">
        <f t="shared" si="8"/>
        <v>0</v>
      </c>
    </row>
    <row r="49" spans="1:52" s="57" customFormat="1" ht="24.9" customHeight="1" x14ac:dyDescent="0.25">
      <c r="A49" s="425" t="s">
        <v>361</v>
      </c>
      <c r="B49" s="303" t="s">
        <v>364</v>
      </c>
      <c r="C49" s="97" t="s">
        <v>881</v>
      </c>
      <c r="D49" s="145" t="s">
        <v>714</v>
      </c>
      <c r="E49" s="230"/>
      <c r="F49" s="414" t="s">
        <v>708</v>
      </c>
      <c r="G49" s="127">
        <v>9.23</v>
      </c>
      <c r="H49" s="303" t="str">
        <f>VLOOKUP($F49,'Leistungswerte UHR Schulen'!$C$6:$F$38,3,FALSE)</f>
        <v>kR</v>
      </c>
      <c r="I49" s="328">
        <f>VLOOKUP(H49,Turnus!$D$9:$E$26,2,FALSE)</f>
        <v>0</v>
      </c>
      <c r="J49" s="127">
        <f t="shared" si="24"/>
        <v>0</v>
      </c>
      <c r="K49" s="128">
        <f>VLOOKUP($F49,'Leistungswerte UHR Schulen'!$C$6:$F$38,4,FALSE)</f>
        <v>0</v>
      </c>
      <c r="L49" s="496" t="str">
        <f t="shared" ref="L49" si="27">IFERROR(G49/K49,"")</f>
        <v/>
      </c>
      <c r="M49" s="129">
        <f t="shared" si="25"/>
        <v>0</v>
      </c>
      <c r="N49" s="547">
        <f t="shared" si="4"/>
        <v>0</v>
      </c>
      <c r="O49" s="130">
        <f t="shared" si="26"/>
        <v>0</v>
      </c>
      <c r="P49" s="131">
        <f t="shared" si="6"/>
        <v>0</v>
      </c>
      <c r="Q49" s="578">
        <f t="shared" si="10"/>
        <v>1</v>
      </c>
      <c r="R49" s="587"/>
      <c r="S49" s="482"/>
      <c r="T49" s="482"/>
      <c r="U49" s="482"/>
      <c r="V49" s="482"/>
      <c r="W49" s="482"/>
      <c r="X49" s="482"/>
      <c r="Y49" s="482"/>
      <c r="Z49" s="482"/>
      <c r="AA49" s="482"/>
      <c r="AB49" s="482"/>
      <c r="AC49" s="482"/>
      <c r="AD49" s="482"/>
      <c r="AE49" s="482"/>
      <c r="AF49" s="482"/>
      <c r="AG49" s="482"/>
      <c r="AH49" s="482"/>
      <c r="AI49" s="482"/>
      <c r="AJ49" s="482"/>
      <c r="AK49" s="482"/>
      <c r="AL49" s="482"/>
      <c r="AM49" s="482"/>
      <c r="AN49" s="482"/>
      <c r="AO49" s="482"/>
      <c r="AP49" s="482"/>
      <c r="AQ49" s="482"/>
      <c r="AR49" s="482"/>
      <c r="AS49" s="482"/>
      <c r="AT49" s="482"/>
      <c r="AU49" s="482"/>
      <c r="AV49" s="482"/>
      <c r="AW49" s="483"/>
      <c r="AX49" s="484">
        <f t="shared" ref="AX49" si="28">SUM(S49:AW49)</f>
        <v>0</v>
      </c>
      <c r="AY49" s="501" t="str">
        <f t="shared" si="7"/>
        <v/>
      </c>
      <c r="AZ49" s="488">
        <f t="shared" si="8"/>
        <v>0</v>
      </c>
    </row>
    <row r="50" spans="1:52" s="57" customFormat="1" ht="24.9" customHeight="1" x14ac:dyDescent="0.25">
      <c r="A50" s="424" t="s">
        <v>182</v>
      </c>
      <c r="B50" s="97" t="s">
        <v>364</v>
      </c>
      <c r="C50" s="97" t="s">
        <v>423</v>
      </c>
      <c r="D50" s="145" t="s">
        <v>266</v>
      </c>
      <c r="E50" s="230" t="s">
        <v>619</v>
      </c>
      <c r="F50" s="414" t="s">
        <v>674</v>
      </c>
      <c r="G50" s="127">
        <v>41.62</v>
      </c>
      <c r="H50" s="303" t="str">
        <f>VLOOKUP($F50,'Leistungswerte UHR Kigas'!$C$6:$F$32,3,FALSE)</f>
        <v>W5</v>
      </c>
      <c r="I50" s="328">
        <f>VLOOKUP(H50,Turnus!$H$9:$I$26,2,FALSE)</f>
        <v>230</v>
      </c>
      <c r="J50" s="127">
        <f t="shared" si="24"/>
        <v>9572.5999999999985</v>
      </c>
      <c r="K50" s="128">
        <f>VLOOKUP($F50,'Leistungswerte UHR Kigas'!$C$6:$F$44,4,FALSE)</f>
        <v>0</v>
      </c>
      <c r="L50" s="496" t="str">
        <f t="shared" si="9"/>
        <v/>
      </c>
      <c r="M50" s="129">
        <f t="shared" si="25"/>
        <v>0</v>
      </c>
      <c r="N50" s="547">
        <f t="shared" si="4"/>
        <v>0</v>
      </c>
      <c r="O50" s="130">
        <f t="shared" si="26"/>
        <v>0</v>
      </c>
      <c r="P50" s="131">
        <f t="shared" si="6"/>
        <v>0</v>
      </c>
      <c r="Q50" s="578">
        <f t="shared" si="10"/>
        <v>2</v>
      </c>
      <c r="R50" s="587"/>
      <c r="S50" s="482"/>
      <c r="T50" s="482"/>
      <c r="U50" s="482"/>
      <c r="V50" s="482"/>
      <c r="W50" s="482"/>
      <c r="X50" s="482"/>
      <c r="Y50" s="482"/>
      <c r="Z50" s="482"/>
      <c r="AA50" s="482"/>
      <c r="AB50" s="482"/>
      <c r="AC50" s="482"/>
      <c r="AD50" s="482"/>
      <c r="AE50" s="482"/>
      <c r="AF50" s="482"/>
      <c r="AG50" s="482"/>
      <c r="AH50" s="482"/>
      <c r="AI50" s="482"/>
      <c r="AJ50" s="482"/>
      <c r="AK50" s="482"/>
      <c r="AL50" s="482"/>
      <c r="AM50" s="482"/>
      <c r="AN50" s="482"/>
      <c r="AO50" s="482"/>
      <c r="AP50" s="482"/>
      <c r="AQ50" s="482"/>
      <c r="AR50" s="482"/>
      <c r="AS50" s="482"/>
      <c r="AT50" s="482"/>
      <c r="AU50" s="482"/>
      <c r="AV50" s="482"/>
      <c r="AW50" s="483"/>
      <c r="AX50" s="484">
        <f t="shared" si="11"/>
        <v>0</v>
      </c>
      <c r="AY50" s="501" t="str">
        <f t="shared" si="7"/>
        <v/>
      </c>
      <c r="AZ50" s="488">
        <f t="shared" si="8"/>
        <v>0</v>
      </c>
    </row>
    <row r="51" spans="1:52" s="57" customFormat="1" ht="24.9" customHeight="1" x14ac:dyDescent="0.25">
      <c r="A51" s="424" t="s">
        <v>182</v>
      </c>
      <c r="B51" s="97" t="s">
        <v>364</v>
      </c>
      <c r="C51" s="97" t="s">
        <v>406</v>
      </c>
      <c r="D51" s="145" t="s">
        <v>259</v>
      </c>
      <c r="E51" s="230" t="s">
        <v>253</v>
      </c>
      <c r="F51" s="228" t="s">
        <v>669</v>
      </c>
      <c r="G51" s="127">
        <v>62.9</v>
      </c>
      <c r="H51" s="303" t="str">
        <f>VLOOKUP($F51,'Leistungswerte UHR Kigas'!$C$6:$F$32,3,FALSE)</f>
        <v>W5</v>
      </c>
      <c r="I51" s="328">
        <f>VLOOKUP(H51,Turnus!$H$9:$I$26,2,FALSE)</f>
        <v>230</v>
      </c>
      <c r="J51" s="127">
        <f t="shared" si="24"/>
        <v>14467</v>
      </c>
      <c r="K51" s="128">
        <f>VLOOKUP($F51,'Leistungswerte UHR Kigas'!$C$6:$F$44,4,FALSE)</f>
        <v>0</v>
      </c>
      <c r="L51" s="496" t="str">
        <f t="shared" si="9"/>
        <v/>
      </c>
      <c r="M51" s="129">
        <f t="shared" si="25"/>
        <v>0</v>
      </c>
      <c r="N51" s="547">
        <f t="shared" si="4"/>
        <v>0</v>
      </c>
      <c r="O51" s="130">
        <f t="shared" si="26"/>
        <v>0</v>
      </c>
      <c r="P51" s="131">
        <f t="shared" si="6"/>
        <v>0</v>
      </c>
      <c r="Q51" s="578">
        <f t="shared" si="10"/>
        <v>2</v>
      </c>
      <c r="R51" s="587"/>
      <c r="S51" s="482"/>
      <c r="T51" s="482"/>
      <c r="U51" s="482"/>
      <c r="V51" s="482"/>
      <c r="W51" s="482"/>
      <c r="X51" s="482"/>
      <c r="Y51" s="482"/>
      <c r="Z51" s="482"/>
      <c r="AA51" s="482"/>
      <c r="AB51" s="482"/>
      <c r="AC51" s="482"/>
      <c r="AD51" s="482"/>
      <c r="AE51" s="482"/>
      <c r="AF51" s="482"/>
      <c r="AG51" s="482"/>
      <c r="AH51" s="482"/>
      <c r="AI51" s="482"/>
      <c r="AJ51" s="482"/>
      <c r="AK51" s="482"/>
      <c r="AL51" s="482"/>
      <c r="AM51" s="482"/>
      <c r="AN51" s="482"/>
      <c r="AO51" s="482"/>
      <c r="AP51" s="482"/>
      <c r="AQ51" s="482"/>
      <c r="AR51" s="482"/>
      <c r="AS51" s="482"/>
      <c r="AT51" s="482"/>
      <c r="AU51" s="482"/>
      <c r="AV51" s="482"/>
      <c r="AW51" s="483"/>
      <c r="AX51" s="484">
        <f t="shared" si="11"/>
        <v>0</v>
      </c>
      <c r="AY51" s="501" t="str">
        <f t="shared" si="7"/>
        <v/>
      </c>
      <c r="AZ51" s="488">
        <f t="shared" si="8"/>
        <v>0</v>
      </c>
    </row>
    <row r="52" spans="1:52" s="57" customFormat="1" ht="24.9" customHeight="1" x14ac:dyDescent="0.25">
      <c r="A52" s="424" t="s">
        <v>182</v>
      </c>
      <c r="B52" s="97" t="s">
        <v>364</v>
      </c>
      <c r="C52" s="97" t="s">
        <v>407</v>
      </c>
      <c r="D52" s="145" t="s">
        <v>256</v>
      </c>
      <c r="E52" s="230" t="s">
        <v>253</v>
      </c>
      <c r="F52" s="228" t="s">
        <v>669</v>
      </c>
      <c r="G52" s="127">
        <v>38.42</v>
      </c>
      <c r="H52" s="303" t="str">
        <f>VLOOKUP($F52,'Leistungswerte UHR Kigas'!$C$6:$F$32,3,FALSE)</f>
        <v>W5</v>
      </c>
      <c r="I52" s="328">
        <f>VLOOKUP(H52,Turnus!$H$9:$I$26,2,FALSE)</f>
        <v>230</v>
      </c>
      <c r="J52" s="127">
        <f t="shared" si="24"/>
        <v>8836.6</v>
      </c>
      <c r="K52" s="128">
        <f>VLOOKUP($F52,'Leistungswerte UHR Kigas'!$C$6:$F$44,4,FALSE)</f>
        <v>0</v>
      </c>
      <c r="L52" s="496" t="str">
        <f t="shared" si="9"/>
        <v/>
      </c>
      <c r="M52" s="129">
        <f t="shared" si="25"/>
        <v>0</v>
      </c>
      <c r="N52" s="547">
        <f t="shared" si="4"/>
        <v>0</v>
      </c>
      <c r="O52" s="130">
        <f t="shared" si="26"/>
        <v>0</v>
      </c>
      <c r="P52" s="131">
        <f t="shared" si="6"/>
        <v>0</v>
      </c>
      <c r="Q52" s="578">
        <f t="shared" si="10"/>
        <v>2</v>
      </c>
      <c r="R52" s="587"/>
      <c r="S52" s="482"/>
      <c r="T52" s="482"/>
      <c r="U52" s="482"/>
      <c r="V52" s="482"/>
      <c r="W52" s="482"/>
      <c r="X52" s="482"/>
      <c r="Y52" s="482"/>
      <c r="Z52" s="482"/>
      <c r="AA52" s="482"/>
      <c r="AB52" s="482"/>
      <c r="AC52" s="482"/>
      <c r="AD52" s="482"/>
      <c r="AE52" s="482"/>
      <c r="AF52" s="482"/>
      <c r="AG52" s="482"/>
      <c r="AH52" s="482"/>
      <c r="AI52" s="482"/>
      <c r="AJ52" s="482"/>
      <c r="AK52" s="482"/>
      <c r="AL52" s="482"/>
      <c r="AM52" s="482"/>
      <c r="AN52" s="482"/>
      <c r="AO52" s="482"/>
      <c r="AP52" s="482"/>
      <c r="AQ52" s="482"/>
      <c r="AR52" s="482"/>
      <c r="AS52" s="482"/>
      <c r="AT52" s="482"/>
      <c r="AU52" s="482"/>
      <c r="AV52" s="482"/>
      <c r="AW52" s="483"/>
      <c r="AX52" s="484">
        <f t="shared" si="11"/>
        <v>0</v>
      </c>
      <c r="AY52" s="501" t="str">
        <f t="shared" si="7"/>
        <v/>
      </c>
      <c r="AZ52" s="488">
        <f t="shared" si="8"/>
        <v>0</v>
      </c>
    </row>
    <row r="53" spans="1:52" s="57" customFormat="1" ht="24.9" customHeight="1" x14ac:dyDescent="0.25">
      <c r="A53" s="424" t="s">
        <v>182</v>
      </c>
      <c r="B53" s="97" t="s">
        <v>364</v>
      </c>
      <c r="C53" s="97" t="s">
        <v>417</v>
      </c>
      <c r="D53" s="145" t="s">
        <v>102</v>
      </c>
      <c r="E53" s="230" t="s">
        <v>253</v>
      </c>
      <c r="F53" s="228" t="s">
        <v>676</v>
      </c>
      <c r="G53" s="127">
        <v>51.92</v>
      </c>
      <c r="H53" s="303" t="str">
        <f>VLOOKUP($F53,'Leistungswerte UHR Kigas'!$C$6:$F$32,3,FALSE)</f>
        <v>W5</v>
      </c>
      <c r="I53" s="328">
        <f>VLOOKUP(H53,Turnus!$H$9:$I$26,2,FALSE)</f>
        <v>230</v>
      </c>
      <c r="J53" s="127">
        <f t="shared" si="24"/>
        <v>11941.6</v>
      </c>
      <c r="K53" s="128">
        <f>VLOOKUP($F53,'Leistungswerte UHR Kigas'!$C$6:$F$44,4,FALSE)</f>
        <v>0</v>
      </c>
      <c r="L53" s="496" t="str">
        <f t="shared" si="9"/>
        <v/>
      </c>
      <c r="M53" s="129">
        <f t="shared" si="25"/>
        <v>0</v>
      </c>
      <c r="N53" s="547">
        <f t="shared" si="4"/>
        <v>0</v>
      </c>
      <c r="O53" s="130">
        <f t="shared" si="26"/>
        <v>0</v>
      </c>
      <c r="P53" s="131">
        <f t="shared" si="6"/>
        <v>0</v>
      </c>
      <c r="Q53" s="578">
        <f t="shared" si="10"/>
        <v>2</v>
      </c>
      <c r="R53" s="587"/>
      <c r="S53" s="482"/>
      <c r="T53" s="482"/>
      <c r="U53" s="482"/>
      <c r="V53" s="482"/>
      <c r="W53" s="482"/>
      <c r="X53" s="482"/>
      <c r="Y53" s="482"/>
      <c r="Z53" s="482"/>
      <c r="AA53" s="482"/>
      <c r="AB53" s="482"/>
      <c r="AC53" s="482"/>
      <c r="AD53" s="482"/>
      <c r="AE53" s="482"/>
      <c r="AF53" s="482"/>
      <c r="AG53" s="482"/>
      <c r="AH53" s="482"/>
      <c r="AI53" s="482"/>
      <c r="AJ53" s="482"/>
      <c r="AK53" s="482"/>
      <c r="AL53" s="482"/>
      <c r="AM53" s="482"/>
      <c r="AN53" s="482"/>
      <c r="AO53" s="482"/>
      <c r="AP53" s="482"/>
      <c r="AQ53" s="482"/>
      <c r="AR53" s="482"/>
      <c r="AS53" s="482"/>
      <c r="AT53" s="482"/>
      <c r="AU53" s="482"/>
      <c r="AV53" s="482"/>
      <c r="AW53" s="483"/>
      <c r="AX53" s="484">
        <f t="shared" si="11"/>
        <v>0</v>
      </c>
      <c r="AY53" s="501" t="str">
        <f t="shared" si="7"/>
        <v/>
      </c>
      <c r="AZ53" s="488">
        <f t="shared" si="8"/>
        <v>0</v>
      </c>
    </row>
    <row r="54" spans="1:52" s="57" customFormat="1" ht="24.9" customHeight="1" x14ac:dyDescent="0.25">
      <c r="A54" s="424" t="s">
        <v>182</v>
      </c>
      <c r="B54" s="97" t="s">
        <v>364</v>
      </c>
      <c r="C54" s="97" t="s">
        <v>408</v>
      </c>
      <c r="D54" s="145" t="s">
        <v>256</v>
      </c>
      <c r="E54" s="230" t="s">
        <v>253</v>
      </c>
      <c r="F54" s="228" t="s">
        <v>669</v>
      </c>
      <c r="G54" s="127">
        <v>38.42</v>
      </c>
      <c r="H54" s="303" t="str">
        <f>VLOOKUP($F54,'Leistungswerte UHR Kigas'!$C$6:$F$32,3,FALSE)</f>
        <v>W5</v>
      </c>
      <c r="I54" s="328">
        <f>VLOOKUP(H54,Turnus!$H$9:$I$26,2,FALSE)</f>
        <v>230</v>
      </c>
      <c r="J54" s="127">
        <f t="shared" si="24"/>
        <v>8836.6</v>
      </c>
      <c r="K54" s="128">
        <f>VLOOKUP($F54,'Leistungswerte UHR Kigas'!$C$6:$F$44,4,FALSE)</f>
        <v>0</v>
      </c>
      <c r="L54" s="496" t="str">
        <f t="shared" si="9"/>
        <v/>
      </c>
      <c r="M54" s="129">
        <f t="shared" si="25"/>
        <v>0</v>
      </c>
      <c r="N54" s="547">
        <f t="shared" si="4"/>
        <v>0</v>
      </c>
      <c r="O54" s="130">
        <f t="shared" si="26"/>
        <v>0</v>
      </c>
      <c r="P54" s="131">
        <f t="shared" si="6"/>
        <v>0</v>
      </c>
      <c r="Q54" s="578">
        <f t="shared" si="10"/>
        <v>2</v>
      </c>
      <c r="R54" s="587"/>
      <c r="S54" s="482"/>
      <c r="T54" s="482"/>
      <c r="U54" s="482"/>
      <c r="V54" s="482"/>
      <c r="W54" s="482"/>
      <c r="X54" s="482"/>
      <c r="Y54" s="482"/>
      <c r="Z54" s="482"/>
      <c r="AA54" s="482"/>
      <c r="AB54" s="482"/>
      <c r="AC54" s="482"/>
      <c r="AD54" s="482"/>
      <c r="AE54" s="482"/>
      <c r="AF54" s="482"/>
      <c r="AG54" s="482"/>
      <c r="AH54" s="482"/>
      <c r="AI54" s="482"/>
      <c r="AJ54" s="482"/>
      <c r="AK54" s="482"/>
      <c r="AL54" s="482"/>
      <c r="AM54" s="482"/>
      <c r="AN54" s="482"/>
      <c r="AO54" s="482"/>
      <c r="AP54" s="482"/>
      <c r="AQ54" s="482"/>
      <c r="AR54" s="482"/>
      <c r="AS54" s="482"/>
      <c r="AT54" s="482"/>
      <c r="AU54" s="482"/>
      <c r="AV54" s="482"/>
      <c r="AW54" s="483"/>
      <c r="AX54" s="484">
        <f t="shared" si="11"/>
        <v>0</v>
      </c>
      <c r="AY54" s="501" t="str">
        <f t="shared" si="7"/>
        <v/>
      </c>
      <c r="AZ54" s="488">
        <f t="shared" si="8"/>
        <v>0</v>
      </c>
    </row>
    <row r="55" spans="1:52" s="57" customFormat="1" ht="24.9" customHeight="1" x14ac:dyDescent="0.25">
      <c r="A55" s="424" t="s">
        <v>182</v>
      </c>
      <c r="B55" s="97" t="s">
        <v>364</v>
      </c>
      <c r="C55" s="97" t="s">
        <v>409</v>
      </c>
      <c r="D55" s="145" t="s">
        <v>410</v>
      </c>
      <c r="E55" s="230" t="s">
        <v>253</v>
      </c>
      <c r="F55" s="228" t="s">
        <v>987</v>
      </c>
      <c r="G55" s="127">
        <v>62.04</v>
      </c>
      <c r="H55" s="303" t="str">
        <f>VLOOKUP($F55,'Leistungswerte UHR Kigas'!$C$6:$F$32,3,FALSE)</f>
        <v>W5</v>
      </c>
      <c r="I55" s="328">
        <f>VLOOKUP(H55,Turnus!$H$9:$I$26,2,FALSE)</f>
        <v>230</v>
      </c>
      <c r="J55" s="127">
        <f t="shared" si="24"/>
        <v>14269.199999999999</v>
      </c>
      <c r="K55" s="128">
        <f>VLOOKUP($F55,'Leistungswerte UHR Kigas'!$C$6:$F$44,4,FALSE)</f>
        <v>0</v>
      </c>
      <c r="L55" s="496" t="str">
        <f t="shared" si="9"/>
        <v/>
      </c>
      <c r="M55" s="129">
        <f t="shared" si="25"/>
        <v>0</v>
      </c>
      <c r="N55" s="547">
        <f t="shared" si="4"/>
        <v>0</v>
      </c>
      <c r="O55" s="130">
        <f t="shared" si="26"/>
        <v>0</v>
      </c>
      <c r="P55" s="131">
        <f t="shared" si="6"/>
        <v>0</v>
      </c>
      <c r="Q55" s="578">
        <f t="shared" si="10"/>
        <v>2</v>
      </c>
      <c r="R55" s="587"/>
      <c r="S55" s="482"/>
      <c r="T55" s="482"/>
      <c r="U55" s="482"/>
      <c r="V55" s="482"/>
      <c r="W55" s="482"/>
      <c r="X55" s="482"/>
      <c r="Y55" s="482"/>
      <c r="Z55" s="482"/>
      <c r="AA55" s="482"/>
      <c r="AB55" s="482"/>
      <c r="AC55" s="482"/>
      <c r="AD55" s="482"/>
      <c r="AE55" s="482"/>
      <c r="AF55" s="482"/>
      <c r="AG55" s="482"/>
      <c r="AH55" s="482"/>
      <c r="AI55" s="482"/>
      <c r="AJ55" s="482"/>
      <c r="AK55" s="482"/>
      <c r="AL55" s="482"/>
      <c r="AM55" s="482"/>
      <c r="AN55" s="482"/>
      <c r="AO55" s="482"/>
      <c r="AP55" s="482"/>
      <c r="AQ55" s="482"/>
      <c r="AR55" s="482"/>
      <c r="AS55" s="482"/>
      <c r="AT55" s="482"/>
      <c r="AU55" s="482"/>
      <c r="AV55" s="482"/>
      <c r="AW55" s="483"/>
      <c r="AX55" s="484">
        <f t="shared" si="11"/>
        <v>0</v>
      </c>
      <c r="AY55" s="501" t="str">
        <f t="shared" si="7"/>
        <v/>
      </c>
      <c r="AZ55" s="488">
        <f t="shared" si="8"/>
        <v>0</v>
      </c>
    </row>
    <row r="56" spans="1:52" s="57" customFormat="1" ht="24.9" customHeight="1" x14ac:dyDescent="0.25">
      <c r="A56" s="424" t="s">
        <v>182</v>
      </c>
      <c r="B56" s="97" t="s">
        <v>364</v>
      </c>
      <c r="C56" s="97" t="s">
        <v>418</v>
      </c>
      <c r="D56" s="145" t="s">
        <v>102</v>
      </c>
      <c r="E56" s="230" t="s">
        <v>253</v>
      </c>
      <c r="F56" s="228" t="s">
        <v>676</v>
      </c>
      <c r="G56" s="127">
        <v>26.49</v>
      </c>
      <c r="H56" s="303" t="str">
        <f>VLOOKUP($F56,'Leistungswerte UHR Kigas'!$C$6:$F$32,3,FALSE)</f>
        <v>W5</v>
      </c>
      <c r="I56" s="328">
        <f>VLOOKUP(H56,Turnus!$H$9:$I$26,2,FALSE)</f>
        <v>230</v>
      </c>
      <c r="J56" s="127">
        <f t="shared" si="24"/>
        <v>6092.7</v>
      </c>
      <c r="K56" s="128">
        <f>VLOOKUP($F56,'Leistungswerte UHR Kigas'!$C$6:$F$44,4,FALSE)</f>
        <v>0</v>
      </c>
      <c r="L56" s="496" t="str">
        <f t="shared" si="9"/>
        <v/>
      </c>
      <c r="M56" s="129">
        <f t="shared" si="25"/>
        <v>0</v>
      </c>
      <c r="N56" s="547">
        <f t="shared" si="4"/>
        <v>0</v>
      </c>
      <c r="O56" s="130">
        <f t="shared" si="26"/>
        <v>0</v>
      </c>
      <c r="P56" s="131">
        <f t="shared" si="6"/>
        <v>0</v>
      </c>
      <c r="Q56" s="578">
        <f t="shared" si="10"/>
        <v>2</v>
      </c>
      <c r="R56" s="587"/>
      <c r="S56" s="482"/>
      <c r="T56" s="482"/>
      <c r="U56" s="482"/>
      <c r="V56" s="482"/>
      <c r="W56" s="482"/>
      <c r="X56" s="482"/>
      <c r="Y56" s="482"/>
      <c r="Z56" s="482"/>
      <c r="AA56" s="482"/>
      <c r="AB56" s="482"/>
      <c r="AC56" s="482"/>
      <c r="AD56" s="482"/>
      <c r="AE56" s="482"/>
      <c r="AF56" s="482"/>
      <c r="AG56" s="482"/>
      <c r="AH56" s="482"/>
      <c r="AI56" s="482"/>
      <c r="AJ56" s="482"/>
      <c r="AK56" s="482"/>
      <c r="AL56" s="482"/>
      <c r="AM56" s="482"/>
      <c r="AN56" s="482"/>
      <c r="AO56" s="482"/>
      <c r="AP56" s="482"/>
      <c r="AQ56" s="482"/>
      <c r="AR56" s="482"/>
      <c r="AS56" s="482"/>
      <c r="AT56" s="482"/>
      <c r="AU56" s="482"/>
      <c r="AV56" s="482"/>
      <c r="AW56" s="483"/>
      <c r="AX56" s="484">
        <f t="shared" si="11"/>
        <v>0</v>
      </c>
      <c r="AY56" s="501" t="str">
        <f t="shared" si="7"/>
        <v/>
      </c>
      <c r="AZ56" s="488">
        <f t="shared" si="8"/>
        <v>0</v>
      </c>
    </row>
    <row r="57" spans="1:52" s="57" customFormat="1" ht="24.9" customHeight="1" x14ac:dyDescent="0.25">
      <c r="A57" s="425" t="s">
        <v>361</v>
      </c>
      <c r="B57" s="97" t="s">
        <v>364</v>
      </c>
      <c r="C57" s="97" t="s">
        <v>454</v>
      </c>
      <c r="D57" s="145" t="s">
        <v>910</v>
      </c>
      <c r="E57" s="230" t="s">
        <v>619</v>
      </c>
      <c r="F57" s="414" t="s">
        <v>708</v>
      </c>
      <c r="G57" s="127">
        <v>3.33</v>
      </c>
      <c r="H57" s="303" t="str">
        <f>VLOOKUP($F57,'Leistungswerte UHR Schulen'!$C$6:$F$38,3,FALSE)</f>
        <v>kR</v>
      </c>
      <c r="I57" s="328">
        <f>VLOOKUP(H57,Turnus!$D$9:$E$26,2,FALSE)</f>
        <v>0</v>
      </c>
      <c r="J57" s="127">
        <f t="shared" si="24"/>
        <v>0</v>
      </c>
      <c r="K57" s="128">
        <f>VLOOKUP($F57,'Leistungswerte UHR Schulen'!$C$6:$F$38,4,FALSE)</f>
        <v>0</v>
      </c>
      <c r="L57" s="496" t="str">
        <f t="shared" si="9"/>
        <v/>
      </c>
      <c r="M57" s="129">
        <f t="shared" si="25"/>
        <v>0</v>
      </c>
      <c r="N57" s="547">
        <f t="shared" ref="N57:N164" si="29">N$3</f>
        <v>0</v>
      </c>
      <c r="O57" s="130">
        <f t="shared" si="26"/>
        <v>0</v>
      </c>
      <c r="P57" s="131">
        <f t="shared" si="6"/>
        <v>0</v>
      </c>
      <c r="Q57" s="578">
        <f t="shared" si="10"/>
        <v>1</v>
      </c>
      <c r="R57" s="587"/>
      <c r="S57" s="482"/>
      <c r="T57" s="482"/>
      <c r="U57" s="482"/>
      <c r="V57" s="482"/>
      <c r="W57" s="482"/>
      <c r="X57" s="482"/>
      <c r="Y57" s="482"/>
      <c r="Z57" s="482"/>
      <c r="AA57" s="482"/>
      <c r="AB57" s="482"/>
      <c r="AC57" s="482"/>
      <c r="AD57" s="482"/>
      <c r="AE57" s="482"/>
      <c r="AF57" s="482"/>
      <c r="AG57" s="482"/>
      <c r="AH57" s="482"/>
      <c r="AI57" s="482"/>
      <c r="AJ57" s="482"/>
      <c r="AK57" s="482"/>
      <c r="AL57" s="482"/>
      <c r="AM57" s="482"/>
      <c r="AN57" s="482"/>
      <c r="AO57" s="482"/>
      <c r="AP57" s="482"/>
      <c r="AQ57" s="482"/>
      <c r="AR57" s="482"/>
      <c r="AS57" s="482"/>
      <c r="AT57" s="482"/>
      <c r="AU57" s="482"/>
      <c r="AV57" s="482"/>
      <c r="AW57" s="483"/>
      <c r="AX57" s="484">
        <f t="shared" si="11"/>
        <v>0</v>
      </c>
      <c r="AY57" s="501" t="str">
        <f t="shared" si="7"/>
        <v/>
      </c>
      <c r="AZ57" s="488">
        <f t="shared" si="8"/>
        <v>0</v>
      </c>
    </row>
    <row r="58" spans="1:52" s="57" customFormat="1" ht="24.9" customHeight="1" x14ac:dyDescent="0.25">
      <c r="A58" s="425" t="s">
        <v>361</v>
      </c>
      <c r="B58" s="97" t="s">
        <v>364</v>
      </c>
      <c r="C58" s="97" t="s">
        <v>446</v>
      </c>
      <c r="D58" s="145" t="s">
        <v>102</v>
      </c>
      <c r="E58" s="230" t="s">
        <v>253</v>
      </c>
      <c r="F58" s="414" t="s">
        <v>676</v>
      </c>
      <c r="G58" s="127">
        <v>35.5</v>
      </c>
      <c r="H58" s="303" t="str">
        <f>VLOOKUP($F58,'Leistungswerte UHR Schulen'!$C$6:$F$38,3,FALSE)</f>
        <v>W5</v>
      </c>
      <c r="I58" s="328">
        <f>VLOOKUP(H58,Turnus!$D$9:$E$26,2,FALSE)</f>
        <v>188.46428571428572</v>
      </c>
      <c r="J58" s="127">
        <f t="shared" si="24"/>
        <v>6690.4821428571431</v>
      </c>
      <c r="K58" s="128">
        <f>VLOOKUP($F58,'Leistungswerte UHR Schulen'!$C$6:$F$38,4,FALSE)</f>
        <v>0</v>
      </c>
      <c r="L58" s="496" t="str">
        <f t="shared" si="9"/>
        <v/>
      </c>
      <c r="M58" s="129">
        <f t="shared" si="25"/>
        <v>0</v>
      </c>
      <c r="N58" s="547">
        <f t="shared" si="4"/>
        <v>0</v>
      </c>
      <c r="O58" s="130">
        <f t="shared" si="26"/>
        <v>0</v>
      </c>
      <c r="P58" s="131">
        <f t="shared" si="6"/>
        <v>0</v>
      </c>
      <c r="Q58" s="578">
        <f t="shared" si="10"/>
        <v>1</v>
      </c>
      <c r="R58" s="587"/>
      <c r="S58" s="482"/>
      <c r="T58" s="482"/>
      <c r="U58" s="482"/>
      <c r="V58" s="482"/>
      <c r="W58" s="482"/>
      <c r="X58" s="482"/>
      <c r="Y58" s="482"/>
      <c r="Z58" s="482"/>
      <c r="AA58" s="482"/>
      <c r="AB58" s="482"/>
      <c r="AC58" s="482"/>
      <c r="AD58" s="482"/>
      <c r="AE58" s="482"/>
      <c r="AF58" s="482"/>
      <c r="AG58" s="482"/>
      <c r="AH58" s="482"/>
      <c r="AI58" s="482"/>
      <c r="AJ58" s="482"/>
      <c r="AK58" s="482"/>
      <c r="AL58" s="482"/>
      <c r="AM58" s="482"/>
      <c r="AN58" s="482"/>
      <c r="AO58" s="482"/>
      <c r="AP58" s="482"/>
      <c r="AQ58" s="482"/>
      <c r="AR58" s="482"/>
      <c r="AS58" s="482"/>
      <c r="AT58" s="482"/>
      <c r="AU58" s="482"/>
      <c r="AV58" s="482"/>
      <c r="AW58" s="483"/>
      <c r="AX58" s="484">
        <f t="shared" si="11"/>
        <v>0</v>
      </c>
      <c r="AY58" s="501" t="str">
        <f t="shared" si="7"/>
        <v/>
      </c>
      <c r="AZ58" s="488">
        <f t="shared" si="8"/>
        <v>0</v>
      </c>
    </row>
    <row r="59" spans="1:52" s="57" customFormat="1" ht="24.9" customHeight="1" x14ac:dyDescent="0.25">
      <c r="A59" s="425" t="s">
        <v>361</v>
      </c>
      <c r="B59" s="97" t="s">
        <v>364</v>
      </c>
      <c r="C59" s="97" t="s">
        <v>447</v>
      </c>
      <c r="D59" s="145" t="s">
        <v>102</v>
      </c>
      <c r="E59" s="230" t="s">
        <v>253</v>
      </c>
      <c r="F59" s="414" t="s">
        <v>676</v>
      </c>
      <c r="G59" s="127">
        <v>59.47</v>
      </c>
      <c r="H59" s="303" t="str">
        <f>VLOOKUP($F59,'Leistungswerte UHR Schulen'!$C$6:$F$38,3,FALSE)</f>
        <v>W5</v>
      </c>
      <c r="I59" s="328">
        <f>VLOOKUP(H59,Turnus!$D$9:$E$26,2,FALSE)</f>
        <v>188.46428571428572</v>
      </c>
      <c r="J59" s="127">
        <f t="shared" si="24"/>
        <v>11207.971071428572</v>
      </c>
      <c r="K59" s="128">
        <f>VLOOKUP($F59,'Leistungswerte UHR Schulen'!$C$6:$F$38,4,FALSE)</f>
        <v>0</v>
      </c>
      <c r="L59" s="496" t="str">
        <f t="shared" si="9"/>
        <v/>
      </c>
      <c r="M59" s="129">
        <f t="shared" si="25"/>
        <v>0</v>
      </c>
      <c r="N59" s="547">
        <f t="shared" si="4"/>
        <v>0</v>
      </c>
      <c r="O59" s="130">
        <f t="shared" si="26"/>
        <v>0</v>
      </c>
      <c r="P59" s="131">
        <f t="shared" si="6"/>
        <v>0</v>
      </c>
      <c r="Q59" s="578">
        <f t="shared" si="10"/>
        <v>1</v>
      </c>
      <c r="R59" s="587"/>
      <c r="S59" s="482"/>
      <c r="T59" s="482"/>
      <c r="U59" s="482"/>
      <c r="V59" s="482"/>
      <c r="W59" s="482"/>
      <c r="X59" s="482"/>
      <c r="Y59" s="482"/>
      <c r="Z59" s="482"/>
      <c r="AA59" s="482"/>
      <c r="AB59" s="482"/>
      <c r="AC59" s="482"/>
      <c r="AD59" s="482"/>
      <c r="AE59" s="482"/>
      <c r="AF59" s="482"/>
      <c r="AG59" s="482"/>
      <c r="AH59" s="482"/>
      <c r="AI59" s="482"/>
      <c r="AJ59" s="482"/>
      <c r="AK59" s="482"/>
      <c r="AL59" s="482"/>
      <c r="AM59" s="482"/>
      <c r="AN59" s="482"/>
      <c r="AO59" s="482"/>
      <c r="AP59" s="482"/>
      <c r="AQ59" s="482"/>
      <c r="AR59" s="482"/>
      <c r="AS59" s="482"/>
      <c r="AT59" s="482"/>
      <c r="AU59" s="482"/>
      <c r="AV59" s="482"/>
      <c r="AW59" s="483"/>
      <c r="AX59" s="484">
        <f t="shared" si="11"/>
        <v>0</v>
      </c>
      <c r="AY59" s="501" t="str">
        <f t="shared" si="7"/>
        <v/>
      </c>
      <c r="AZ59" s="488">
        <f t="shared" si="8"/>
        <v>0</v>
      </c>
    </row>
    <row r="60" spans="1:52" s="57" customFormat="1" ht="24.9" customHeight="1" x14ac:dyDescent="0.25">
      <c r="A60" s="425" t="s">
        <v>361</v>
      </c>
      <c r="B60" s="97" t="s">
        <v>364</v>
      </c>
      <c r="C60" s="97" t="s">
        <v>424</v>
      </c>
      <c r="D60" s="145" t="s">
        <v>425</v>
      </c>
      <c r="E60" s="230" t="s">
        <v>169</v>
      </c>
      <c r="F60" s="414" t="s">
        <v>897</v>
      </c>
      <c r="G60" s="127">
        <v>16.71</v>
      </c>
      <c r="H60" s="303" t="str">
        <f>VLOOKUP($F60,'Leistungswerte UHR Schulen'!$C$6:$F$38,3,FALSE)</f>
        <v>W3</v>
      </c>
      <c r="I60" s="328">
        <f>VLOOKUP(H60,Turnus!$D$9:$E$26,2,FALSE)</f>
        <v>114.53571428571426</v>
      </c>
      <c r="J60" s="127">
        <f t="shared" si="24"/>
        <v>1913.8917857142853</v>
      </c>
      <c r="K60" s="128">
        <f>VLOOKUP($F60,'Leistungswerte UHR Schulen'!$C$6:$F$38,4,FALSE)</f>
        <v>0</v>
      </c>
      <c r="L60" s="496" t="str">
        <f t="shared" si="9"/>
        <v/>
      </c>
      <c r="M60" s="129">
        <f t="shared" si="25"/>
        <v>0</v>
      </c>
      <c r="N60" s="547">
        <f t="shared" si="4"/>
        <v>0</v>
      </c>
      <c r="O60" s="130">
        <f t="shared" si="26"/>
        <v>0</v>
      </c>
      <c r="P60" s="131">
        <f t="shared" si="6"/>
        <v>0</v>
      </c>
      <c r="Q60" s="578">
        <f t="shared" si="10"/>
        <v>1</v>
      </c>
      <c r="R60" s="587"/>
      <c r="S60" s="482"/>
      <c r="T60" s="482"/>
      <c r="U60" s="482"/>
      <c r="V60" s="482"/>
      <c r="W60" s="482"/>
      <c r="X60" s="482"/>
      <c r="Y60" s="482"/>
      <c r="Z60" s="482"/>
      <c r="AA60" s="482"/>
      <c r="AB60" s="482"/>
      <c r="AC60" s="482"/>
      <c r="AD60" s="482"/>
      <c r="AE60" s="482"/>
      <c r="AF60" s="482"/>
      <c r="AG60" s="482"/>
      <c r="AH60" s="482"/>
      <c r="AI60" s="482"/>
      <c r="AJ60" s="482"/>
      <c r="AK60" s="482"/>
      <c r="AL60" s="482"/>
      <c r="AM60" s="482"/>
      <c r="AN60" s="482"/>
      <c r="AO60" s="482"/>
      <c r="AP60" s="482"/>
      <c r="AQ60" s="482"/>
      <c r="AR60" s="482"/>
      <c r="AS60" s="482"/>
      <c r="AT60" s="482"/>
      <c r="AU60" s="482"/>
      <c r="AV60" s="482"/>
      <c r="AW60" s="483"/>
      <c r="AX60" s="484">
        <f t="shared" si="11"/>
        <v>0</v>
      </c>
      <c r="AY60" s="501" t="str">
        <f t="shared" si="7"/>
        <v/>
      </c>
      <c r="AZ60" s="488">
        <f t="shared" si="8"/>
        <v>0</v>
      </c>
    </row>
    <row r="61" spans="1:52" s="57" customFormat="1" ht="24.9" customHeight="1" x14ac:dyDescent="0.25">
      <c r="A61" s="425" t="s">
        <v>361</v>
      </c>
      <c r="B61" s="97" t="s">
        <v>364</v>
      </c>
      <c r="C61" s="97" t="s">
        <v>426</v>
      </c>
      <c r="D61" s="145" t="s">
        <v>385</v>
      </c>
      <c r="E61" s="230" t="s">
        <v>171</v>
      </c>
      <c r="F61" s="414" t="s">
        <v>670</v>
      </c>
      <c r="G61" s="127">
        <v>11.31</v>
      </c>
      <c r="H61" s="303" t="str">
        <f>VLOOKUP($F61,'Leistungswerte UHR Schulen'!$C$6:$F$38,3,FALSE)</f>
        <v>W5</v>
      </c>
      <c r="I61" s="328">
        <f>VLOOKUP(H61,Turnus!$D$9:$E$26,2,FALSE)</f>
        <v>188.46428571428572</v>
      </c>
      <c r="J61" s="127">
        <f t="shared" si="24"/>
        <v>2131.5310714285715</v>
      </c>
      <c r="K61" s="128">
        <f>VLOOKUP($F61,'Leistungswerte UHR Schulen'!$C$6:$F$38,4,FALSE)</f>
        <v>0</v>
      </c>
      <c r="L61" s="496" t="str">
        <f t="shared" si="9"/>
        <v/>
      </c>
      <c r="M61" s="129">
        <f t="shared" si="25"/>
        <v>0</v>
      </c>
      <c r="N61" s="547">
        <f t="shared" si="4"/>
        <v>0</v>
      </c>
      <c r="O61" s="130">
        <f t="shared" si="26"/>
        <v>0</v>
      </c>
      <c r="P61" s="131">
        <f t="shared" si="6"/>
        <v>0</v>
      </c>
      <c r="Q61" s="578">
        <f t="shared" si="10"/>
        <v>1</v>
      </c>
      <c r="R61" s="587"/>
      <c r="S61" s="482"/>
      <c r="T61" s="482"/>
      <c r="U61" s="482"/>
      <c r="V61" s="482"/>
      <c r="W61" s="482"/>
      <c r="X61" s="482"/>
      <c r="Y61" s="482"/>
      <c r="Z61" s="482"/>
      <c r="AA61" s="482"/>
      <c r="AB61" s="482"/>
      <c r="AC61" s="482"/>
      <c r="AD61" s="482"/>
      <c r="AE61" s="482"/>
      <c r="AF61" s="482"/>
      <c r="AG61" s="482"/>
      <c r="AH61" s="482"/>
      <c r="AI61" s="482"/>
      <c r="AJ61" s="482"/>
      <c r="AK61" s="482"/>
      <c r="AL61" s="482"/>
      <c r="AM61" s="482"/>
      <c r="AN61" s="482"/>
      <c r="AO61" s="482"/>
      <c r="AP61" s="482"/>
      <c r="AQ61" s="482"/>
      <c r="AR61" s="482"/>
      <c r="AS61" s="482"/>
      <c r="AT61" s="482"/>
      <c r="AU61" s="482"/>
      <c r="AV61" s="482"/>
      <c r="AW61" s="483"/>
      <c r="AX61" s="484">
        <f t="shared" si="11"/>
        <v>0</v>
      </c>
      <c r="AY61" s="501" t="str">
        <f t="shared" si="7"/>
        <v/>
      </c>
      <c r="AZ61" s="488">
        <f t="shared" si="8"/>
        <v>0</v>
      </c>
    </row>
    <row r="62" spans="1:52" s="57" customFormat="1" ht="24.9" customHeight="1" x14ac:dyDescent="0.25">
      <c r="A62" s="425" t="s">
        <v>361</v>
      </c>
      <c r="B62" s="97" t="s">
        <v>364</v>
      </c>
      <c r="C62" s="97" t="s">
        <v>427</v>
      </c>
      <c r="D62" s="145" t="s">
        <v>382</v>
      </c>
      <c r="E62" s="230" t="s">
        <v>171</v>
      </c>
      <c r="F62" s="414" t="s">
        <v>670</v>
      </c>
      <c r="G62" s="127">
        <v>3.84</v>
      </c>
      <c r="H62" s="303" t="str">
        <f>VLOOKUP($F62,'Leistungswerte UHR Schulen'!$C$6:$F$38,3,FALSE)</f>
        <v>W5</v>
      </c>
      <c r="I62" s="328">
        <f>VLOOKUP(H62,Turnus!$D$9:$E$26,2,FALSE)</f>
        <v>188.46428571428572</v>
      </c>
      <c r="J62" s="127">
        <f t="shared" si="24"/>
        <v>723.70285714285717</v>
      </c>
      <c r="K62" s="128">
        <f>VLOOKUP($F62,'Leistungswerte UHR Schulen'!$C$6:$F$38,4,FALSE)</f>
        <v>0</v>
      </c>
      <c r="L62" s="496" t="str">
        <f t="shared" si="9"/>
        <v/>
      </c>
      <c r="M62" s="129">
        <f t="shared" si="25"/>
        <v>0</v>
      </c>
      <c r="N62" s="547">
        <f t="shared" si="4"/>
        <v>0</v>
      </c>
      <c r="O62" s="130">
        <f t="shared" si="26"/>
        <v>0</v>
      </c>
      <c r="P62" s="131">
        <f t="shared" si="6"/>
        <v>0</v>
      </c>
      <c r="Q62" s="578">
        <f t="shared" si="10"/>
        <v>1</v>
      </c>
      <c r="R62" s="587"/>
      <c r="S62" s="482"/>
      <c r="T62" s="482"/>
      <c r="U62" s="482"/>
      <c r="V62" s="482"/>
      <c r="W62" s="482"/>
      <c r="X62" s="482"/>
      <c r="Y62" s="482"/>
      <c r="Z62" s="482"/>
      <c r="AA62" s="482"/>
      <c r="AB62" s="482"/>
      <c r="AC62" s="482"/>
      <c r="AD62" s="482"/>
      <c r="AE62" s="482"/>
      <c r="AF62" s="482"/>
      <c r="AG62" s="482"/>
      <c r="AH62" s="482"/>
      <c r="AI62" s="482"/>
      <c r="AJ62" s="482"/>
      <c r="AK62" s="482"/>
      <c r="AL62" s="482"/>
      <c r="AM62" s="482"/>
      <c r="AN62" s="482"/>
      <c r="AO62" s="482"/>
      <c r="AP62" s="482"/>
      <c r="AQ62" s="482"/>
      <c r="AR62" s="482"/>
      <c r="AS62" s="482"/>
      <c r="AT62" s="482"/>
      <c r="AU62" s="482"/>
      <c r="AV62" s="482"/>
      <c r="AW62" s="483"/>
      <c r="AX62" s="484">
        <f t="shared" si="11"/>
        <v>0</v>
      </c>
      <c r="AY62" s="501" t="str">
        <f t="shared" si="7"/>
        <v/>
      </c>
      <c r="AZ62" s="488">
        <f t="shared" si="8"/>
        <v>0</v>
      </c>
    </row>
    <row r="63" spans="1:52" s="57" customFormat="1" ht="24.9" customHeight="1" x14ac:dyDescent="0.25">
      <c r="A63" s="425" t="s">
        <v>361</v>
      </c>
      <c r="B63" s="97" t="s">
        <v>364</v>
      </c>
      <c r="C63" s="97" t="s">
        <v>733</v>
      </c>
      <c r="D63" s="145" t="s">
        <v>270</v>
      </c>
      <c r="E63" s="230" t="s">
        <v>171</v>
      </c>
      <c r="F63" s="414" t="s">
        <v>670</v>
      </c>
      <c r="G63" s="127">
        <v>11.47</v>
      </c>
      <c r="H63" s="303" t="str">
        <f>VLOOKUP($F63,'Leistungswerte UHR Schulen'!$C$6:$F$38,3,FALSE)</f>
        <v>W5</v>
      </c>
      <c r="I63" s="328">
        <f>VLOOKUP(H63,Turnus!$D$9:$E$26,2,FALSE)</f>
        <v>188.46428571428572</v>
      </c>
      <c r="J63" s="127">
        <f t="shared" si="24"/>
        <v>2161.6853571428574</v>
      </c>
      <c r="K63" s="128">
        <f>VLOOKUP($F63,'Leistungswerte UHR Schulen'!$C$6:$F$38,4,FALSE)</f>
        <v>0</v>
      </c>
      <c r="L63" s="496" t="str">
        <f t="shared" si="9"/>
        <v/>
      </c>
      <c r="M63" s="129">
        <f t="shared" si="25"/>
        <v>0</v>
      </c>
      <c r="N63" s="547">
        <f t="shared" si="4"/>
        <v>0</v>
      </c>
      <c r="O63" s="130">
        <f t="shared" si="26"/>
        <v>0</v>
      </c>
      <c r="P63" s="131">
        <f t="shared" si="6"/>
        <v>0</v>
      </c>
      <c r="Q63" s="578">
        <f t="shared" si="10"/>
        <v>1</v>
      </c>
      <c r="R63" s="587"/>
      <c r="S63" s="482"/>
      <c r="T63" s="482"/>
      <c r="U63" s="482"/>
      <c r="V63" s="482"/>
      <c r="W63" s="482"/>
      <c r="X63" s="482"/>
      <c r="Y63" s="482"/>
      <c r="Z63" s="482"/>
      <c r="AA63" s="482"/>
      <c r="AB63" s="482"/>
      <c r="AC63" s="482"/>
      <c r="AD63" s="482"/>
      <c r="AE63" s="482"/>
      <c r="AF63" s="482"/>
      <c r="AG63" s="482"/>
      <c r="AH63" s="482"/>
      <c r="AI63" s="482"/>
      <c r="AJ63" s="482"/>
      <c r="AK63" s="482"/>
      <c r="AL63" s="482"/>
      <c r="AM63" s="482"/>
      <c r="AN63" s="482"/>
      <c r="AO63" s="482"/>
      <c r="AP63" s="482"/>
      <c r="AQ63" s="482"/>
      <c r="AR63" s="482"/>
      <c r="AS63" s="482"/>
      <c r="AT63" s="482"/>
      <c r="AU63" s="482"/>
      <c r="AV63" s="482"/>
      <c r="AW63" s="483"/>
      <c r="AX63" s="484">
        <f t="shared" si="11"/>
        <v>0</v>
      </c>
      <c r="AY63" s="501" t="str">
        <f t="shared" si="7"/>
        <v/>
      </c>
      <c r="AZ63" s="488">
        <f t="shared" si="8"/>
        <v>0</v>
      </c>
    </row>
    <row r="64" spans="1:52" s="57" customFormat="1" ht="24.9" customHeight="1" x14ac:dyDescent="0.25">
      <c r="A64" s="425" t="s">
        <v>361</v>
      </c>
      <c r="B64" s="303" t="s">
        <v>364</v>
      </c>
      <c r="C64" s="97" t="s">
        <v>428</v>
      </c>
      <c r="D64" s="145" t="s">
        <v>701</v>
      </c>
      <c r="E64" s="230"/>
      <c r="F64" s="414" t="s">
        <v>708</v>
      </c>
      <c r="G64" s="127">
        <v>3.84</v>
      </c>
      <c r="H64" s="303" t="str">
        <f>VLOOKUP($F64,'Leistungswerte UHR Schulen'!$C$6:$F$38,3,FALSE)</f>
        <v>kR</v>
      </c>
      <c r="I64" s="328">
        <f>VLOOKUP(H64,Turnus!$D$9:$E$26,2,FALSE)</f>
        <v>0</v>
      </c>
      <c r="J64" s="127">
        <f t="shared" ref="J64" si="30">+G64*I64</f>
        <v>0</v>
      </c>
      <c r="K64" s="128">
        <f>VLOOKUP($F64,'Leistungswerte UHR Schulen'!$C$6:$F$38,4,FALSE)</f>
        <v>0</v>
      </c>
      <c r="L64" s="496" t="str">
        <f t="shared" si="9"/>
        <v/>
      </c>
      <c r="M64" s="129">
        <f t="shared" ref="M64" si="31">IF(ISERROR(J64/K64),0,J64/K64)</f>
        <v>0</v>
      </c>
      <c r="N64" s="547">
        <f t="shared" si="4"/>
        <v>0</v>
      </c>
      <c r="O64" s="130">
        <f t="shared" ref="O64" si="32">IF(ISERROR(G64/K64*N64),0,G64/K64*N64)</f>
        <v>0</v>
      </c>
      <c r="P64" s="131">
        <f t="shared" si="6"/>
        <v>0</v>
      </c>
      <c r="Q64" s="578">
        <f t="shared" si="10"/>
        <v>1</v>
      </c>
      <c r="R64" s="587"/>
      <c r="S64" s="482"/>
      <c r="T64" s="482"/>
      <c r="U64" s="482"/>
      <c r="V64" s="482"/>
      <c r="W64" s="482"/>
      <c r="X64" s="482"/>
      <c r="Y64" s="482"/>
      <c r="Z64" s="482"/>
      <c r="AA64" s="482"/>
      <c r="AB64" s="482"/>
      <c r="AC64" s="482"/>
      <c r="AD64" s="482"/>
      <c r="AE64" s="482"/>
      <c r="AF64" s="482"/>
      <c r="AG64" s="482"/>
      <c r="AH64" s="482"/>
      <c r="AI64" s="482"/>
      <c r="AJ64" s="482"/>
      <c r="AK64" s="482"/>
      <c r="AL64" s="482"/>
      <c r="AM64" s="482"/>
      <c r="AN64" s="482"/>
      <c r="AO64" s="482"/>
      <c r="AP64" s="482"/>
      <c r="AQ64" s="482"/>
      <c r="AR64" s="482"/>
      <c r="AS64" s="482"/>
      <c r="AT64" s="482"/>
      <c r="AU64" s="482"/>
      <c r="AV64" s="482"/>
      <c r="AW64" s="483"/>
      <c r="AX64" s="484">
        <f t="shared" si="11"/>
        <v>0</v>
      </c>
      <c r="AY64" s="501" t="str">
        <f t="shared" si="7"/>
        <v/>
      </c>
      <c r="AZ64" s="488">
        <f t="shared" si="8"/>
        <v>0</v>
      </c>
    </row>
    <row r="65" spans="1:52" s="57" customFormat="1" ht="24.9" customHeight="1" x14ac:dyDescent="0.25">
      <c r="A65" s="425" t="s">
        <v>361</v>
      </c>
      <c r="B65" s="97" t="s">
        <v>364</v>
      </c>
      <c r="C65" s="97" t="s">
        <v>453</v>
      </c>
      <c r="D65" s="145" t="s">
        <v>266</v>
      </c>
      <c r="E65" s="230" t="s">
        <v>619</v>
      </c>
      <c r="F65" s="414" t="s">
        <v>674</v>
      </c>
      <c r="G65" s="127">
        <v>29.8</v>
      </c>
      <c r="H65" s="303" t="str">
        <f>VLOOKUP($F65,'Leistungswerte UHR Schulen'!$C$6:$F$38,3,FALSE)</f>
        <v>W5</v>
      </c>
      <c r="I65" s="328">
        <f>VLOOKUP(H65,Turnus!$D$9:$E$26,2,FALSE)</f>
        <v>188.46428571428572</v>
      </c>
      <c r="J65" s="127">
        <f t="shared" ref="J65:J83" si="33">+G65*I65</f>
        <v>5616.2357142857145</v>
      </c>
      <c r="K65" s="128">
        <f>VLOOKUP($F65,'Leistungswerte UHR Schulen'!$C$6:$F$38,4,FALSE)</f>
        <v>0</v>
      </c>
      <c r="L65" s="496" t="str">
        <f t="shared" si="9"/>
        <v/>
      </c>
      <c r="M65" s="129">
        <f t="shared" ref="M65:M83" si="34">IF(ISERROR(J65/K65),0,J65/K65)</f>
        <v>0</v>
      </c>
      <c r="N65" s="547">
        <f t="shared" si="29"/>
        <v>0</v>
      </c>
      <c r="O65" s="130">
        <f t="shared" ref="O65:O83" si="35">IF(ISERROR(G65/K65*N65),0,G65/K65*N65)</f>
        <v>0</v>
      </c>
      <c r="P65" s="131">
        <f t="shared" si="6"/>
        <v>0</v>
      </c>
      <c r="Q65" s="578">
        <f t="shared" si="10"/>
        <v>1</v>
      </c>
      <c r="R65" s="587"/>
      <c r="S65" s="482"/>
      <c r="T65" s="482"/>
      <c r="U65" s="482"/>
      <c r="V65" s="482"/>
      <c r="W65" s="482"/>
      <c r="X65" s="482"/>
      <c r="Y65" s="482"/>
      <c r="Z65" s="482"/>
      <c r="AA65" s="482"/>
      <c r="AB65" s="482"/>
      <c r="AC65" s="482"/>
      <c r="AD65" s="482"/>
      <c r="AE65" s="482"/>
      <c r="AF65" s="482"/>
      <c r="AG65" s="482"/>
      <c r="AH65" s="482"/>
      <c r="AI65" s="482"/>
      <c r="AJ65" s="482"/>
      <c r="AK65" s="482"/>
      <c r="AL65" s="482"/>
      <c r="AM65" s="482"/>
      <c r="AN65" s="482"/>
      <c r="AO65" s="482"/>
      <c r="AP65" s="482"/>
      <c r="AQ65" s="482"/>
      <c r="AR65" s="482"/>
      <c r="AS65" s="482"/>
      <c r="AT65" s="482"/>
      <c r="AU65" s="482"/>
      <c r="AV65" s="482"/>
      <c r="AW65" s="483"/>
      <c r="AX65" s="484">
        <f t="shared" si="11"/>
        <v>0</v>
      </c>
      <c r="AY65" s="501" t="str">
        <f t="shared" si="7"/>
        <v/>
      </c>
      <c r="AZ65" s="488">
        <f t="shared" si="8"/>
        <v>0</v>
      </c>
    </row>
    <row r="66" spans="1:52" s="57" customFormat="1" ht="24.9" customHeight="1" x14ac:dyDescent="0.25">
      <c r="A66" s="425" t="s">
        <v>361</v>
      </c>
      <c r="B66" s="97" t="s">
        <v>364</v>
      </c>
      <c r="C66" s="97" t="s">
        <v>434</v>
      </c>
      <c r="D66" s="145" t="s">
        <v>884</v>
      </c>
      <c r="E66" s="230" t="s">
        <v>169</v>
      </c>
      <c r="F66" s="414" t="s">
        <v>890</v>
      </c>
      <c r="G66" s="127">
        <v>64.760000000000005</v>
      </c>
      <c r="H66" s="303" t="str">
        <f>VLOOKUP($F66,'Leistungswerte UHR Schulen'!$C$6:$F$38,3,FALSE)</f>
        <v>W3</v>
      </c>
      <c r="I66" s="328">
        <f>VLOOKUP(H66,Turnus!$D$9:$E$26,2,FALSE)</f>
        <v>114.53571428571426</v>
      </c>
      <c r="J66" s="127">
        <f t="shared" si="33"/>
        <v>7417.3328571428565</v>
      </c>
      <c r="K66" s="128">
        <f>VLOOKUP($F66,'Leistungswerte UHR Schulen'!$C$6:$F$38,4,FALSE)</f>
        <v>0</v>
      </c>
      <c r="L66" s="496" t="str">
        <f t="shared" si="9"/>
        <v/>
      </c>
      <c r="M66" s="129">
        <f t="shared" si="34"/>
        <v>0</v>
      </c>
      <c r="N66" s="547">
        <f t="shared" si="4"/>
        <v>0</v>
      </c>
      <c r="O66" s="130">
        <f t="shared" si="35"/>
        <v>0</v>
      </c>
      <c r="P66" s="131">
        <f t="shared" si="6"/>
        <v>0</v>
      </c>
      <c r="Q66" s="578">
        <f t="shared" si="10"/>
        <v>1</v>
      </c>
      <c r="R66" s="587"/>
      <c r="S66" s="482"/>
      <c r="T66" s="482"/>
      <c r="U66" s="482"/>
      <c r="V66" s="482"/>
      <c r="W66" s="482"/>
      <c r="X66" s="482"/>
      <c r="Y66" s="482"/>
      <c r="Z66" s="482"/>
      <c r="AA66" s="482"/>
      <c r="AB66" s="482"/>
      <c r="AC66" s="482"/>
      <c r="AD66" s="482"/>
      <c r="AE66" s="482"/>
      <c r="AF66" s="482"/>
      <c r="AG66" s="482"/>
      <c r="AH66" s="482"/>
      <c r="AI66" s="482"/>
      <c r="AJ66" s="482"/>
      <c r="AK66" s="482"/>
      <c r="AL66" s="482"/>
      <c r="AM66" s="482"/>
      <c r="AN66" s="482"/>
      <c r="AO66" s="482"/>
      <c r="AP66" s="482"/>
      <c r="AQ66" s="482"/>
      <c r="AR66" s="482"/>
      <c r="AS66" s="482"/>
      <c r="AT66" s="482"/>
      <c r="AU66" s="482"/>
      <c r="AV66" s="482"/>
      <c r="AW66" s="483"/>
      <c r="AX66" s="484">
        <f t="shared" si="11"/>
        <v>0</v>
      </c>
      <c r="AY66" s="501" t="str">
        <f t="shared" si="7"/>
        <v/>
      </c>
      <c r="AZ66" s="488">
        <f t="shared" si="8"/>
        <v>0</v>
      </c>
    </row>
    <row r="67" spans="1:52" s="57" customFormat="1" ht="24.9" customHeight="1" x14ac:dyDescent="0.25">
      <c r="A67" s="425" t="s">
        <v>361</v>
      </c>
      <c r="B67" s="97" t="s">
        <v>364</v>
      </c>
      <c r="C67" s="97" t="s">
        <v>435</v>
      </c>
      <c r="D67" s="145" t="s">
        <v>259</v>
      </c>
      <c r="E67" s="230" t="s">
        <v>169</v>
      </c>
      <c r="F67" s="414" t="s">
        <v>897</v>
      </c>
      <c r="G67" s="127">
        <v>37.33</v>
      </c>
      <c r="H67" s="303" t="str">
        <f>VLOOKUP($F67,'Leistungswerte UHR Schulen'!$C$6:$F$38,3,FALSE)</f>
        <v>W3</v>
      </c>
      <c r="I67" s="328">
        <f>VLOOKUP(H67,Turnus!$D$9:$E$26,2,FALSE)</f>
        <v>114.53571428571426</v>
      </c>
      <c r="J67" s="127">
        <f t="shared" si="33"/>
        <v>4275.6182142857133</v>
      </c>
      <c r="K67" s="128">
        <f>VLOOKUP($F67,'Leistungswerte UHR Schulen'!$C$6:$F$38,4,FALSE)</f>
        <v>0</v>
      </c>
      <c r="L67" s="496" t="str">
        <f t="shared" si="9"/>
        <v/>
      </c>
      <c r="M67" s="129">
        <f t="shared" si="34"/>
        <v>0</v>
      </c>
      <c r="N67" s="547">
        <f t="shared" si="4"/>
        <v>0</v>
      </c>
      <c r="O67" s="130">
        <f t="shared" si="35"/>
        <v>0</v>
      </c>
      <c r="P67" s="131">
        <f t="shared" si="6"/>
        <v>0</v>
      </c>
      <c r="Q67" s="578">
        <f t="shared" si="10"/>
        <v>1</v>
      </c>
      <c r="R67" s="587"/>
      <c r="S67" s="482"/>
      <c r="T67" s="482"/>
      <c r="U67" s="482"/>
      <c r="V67" s="482"/>
      <c r="W67" s="482"/>
      <c r="X67" s="482"/>
      <c r="Y67" s="482"/>
      <c r="Z67" s="482"/>
      <c r="AA67" s="482"/>
      <c r="AB67" s="482"/>
      <c r="AC67" s="482"/>
      <c r="AD67" s="482"/>
      <c r="AE67" s="482"/>
      <c r="AF67" s="482"/>
      <c r="AG67" s="482"/>
      <c r="AH67" s="482"/>
      <c r="AI67" s="482"/>
      <c r="AJ67" s="482"/>
      <c r="AK67" s="482"/>
      <c r="AL67" s="482"/>
      <c r="AM67" s="482"/>
      <c r="AN67" s="482"/>
      <c r="AO67" s="482"/>
      <c r="AP67" s="482"/>
      <c r="AQ67" s="482"/>
      <c r="AR67" s="482"/>
      <c r="AS67" s="482"/>
      <c r="AT67" s="482"/>
      <c r="AU67" s="482"/>
      <c r="AV67" s="482"/>
      <c r="AW67" s="483"/>
      <c r="AX67" s="484">
        <f t="shared" si="11"/>
        <v>0</v>
      </c>
      <c r="AY67" s="501" t="str">
        <f t="shared" si="7"/>
        <v/>
      </c>
      <c r="AZ67" s="488">
        <f t="shared" si="8"/>
        <v>0</v>
      </c>
    </row>
    <row r="68" spans="1:52" s="57" customFormat="1" ht="24.9" customHeight="1" x14ac:dyDescent="0.25">
      <c r="A68" s="425" t="s">
        <v>361</v>
      </c>
      <c r="B68" s="97" t="s">
        <v>364</v>
      </c>
      <c r="C68" s="97" t="s">
        <v>436</v>
      </c>
      <c r="D68" s="145" t="s">
        <v>252</v>
      </c>
      <c r="E68" s="230" t="s">
        <v>253</v>
      </c>
      <c r="F68" s="414" t="s">
        <v>901</v>
      </c>
      <c r="G68" s="127">
        <v>12.78</v>
      </c>
      <c r="H68" s="303" t="str">
        <f>VLOOKUP($F68,'Leistungswerte UHR Schulen'!$C$6:$F$38,3,FALSE)</f>
        <v>W3</v>
      </c>
      <c r="I68" s="328">
        <f>VLOOKUP(H68,Turnus!$D$9:$E$26,2,FALSE)</f>
        <v>114.53571428571426</v>
      </c>
      <c r="J68" s="127">
        <f t="shared" si="33"/>
        <v>1463.7664285714282</v>
      </c>
      <c r="K68" s="128">
        <f>VLOOKUP($F68,'Leistungswerte UHR Schulen'!$C$6:$F$38,4,FALSE)</f>
        <v>0</v>
      </c>
      <c r="L68" s="496" t="str">
        <f t="shared" si="9"/>
        <v/>
      </c>
      <c r="M68" s="129">
        <f t="shared" si="34"/>
        <v>0</v>
      </c>
      <c r="N68" s="547">
        <f t="shared" si="4"/>
        <v>0</v>
      </c>
      <c r="O68" s="130">
        <f t="shared" si="35"/>
        <v>0</v>
      </c>
      <c r="P68" s="131">
        <f t="shared" si="6"/>
        <v>0</v>
      </c>
      <c r="Q68" s="578">
        <f t="shared" si="10"/>
        <v>1</v>
      </c>
      <c r="R68" s="587"/>
      <c r="S68" s="482"/>
      <c r="T68" s="482"/>
      <c r="U68" s="482"/>
      <c r="V68" s="482"/>
      <c r="W68" s="482"/>
      <c r="X68" s="482"/>
      <c r="Y68" s="482"/>
      <c r="Z68" s="482"/>
      <c r="AA68" s="482"/>
      <c r="AB68" s="482"/>
      <c r="AC68" s="482"/>
      <c r="AD68" s="482"/>
      <c r="AE68" s="482"/>
      <c r="AF68" s="482"/>
      <c r="AG68" s="482"/>
      <c r="AH68" s="482"/>
      <c r="AI68" s="482"/>
      <c r="AJ68" s="482"/>
      <c r="AK68" s="482"/>
      <c r="AL68" s="482"/>
      <c r="AM68" s="482"/>
      <c r="AN68" s="482"/>
      <c r="AO68" s="482"/>
      <c r="AP68" s="482"/>
      <c r="AQ68" s="482"/>
      <c r="AR68" s="482"/>
      <c r="AS68" s="482"/>
      <c r="AT68" s="482"/>
      <c r="AU68" s="482"/>
      <c r="AV68" s="482"/>
      <c r="AW68" s="483"/>
      <c r="AX68" s="484">
        <f t="shared" si="11"/>
        <v>0</v>
      </c>
      <c r="AY68" s="501" t="str">
        <f t="shared" si="7"/>
        <v/>
      </c>
      <c r="AZ68" s="488">
        <f t="shared" si="8"/>
        <v>0</v>
      </c>
    </row>
    <row r="69" spans="1:52" s="57" customFormat="1" ht="24.9" customHeight="1" x14ac:dyDescent="0.25">
      <c r="A69" s="425" t="s">
        <v>361</v>
      </c>
      <c r="B69" s="97" t="s">
        <v>364</v>
      </c>
      <c r="C69" s="97" t="s">
        <v>437</v>
      </c>
      <c r="D69" s="145" t="s">
        <v>252</v>
      </c>
      <c r="E69" s="230" t="s">
        <v>253</v>
      </c>
      <c r="F69" s="414" t="s">
        <v>901</v>
      </c>
      <c r="G69" s="127">
        <v>12.78</v>
      </c>
      <c r="H69" s="303" t="str">
        <f>VLOOKUP($F69,'Leistungswerte UHR Schulen'!$C$6:$F$38,3,FALSE)</f>
        <v>W3</v>
      </c>
      <c r="I69" s="328">
        <f>VLOOKUP(H69,Turnus!$D$9:$E$26,2,FALSE)</f>
        <v>114.53571428571426</v>
      </c>
      <c r="J69" s="127">
        <f t="shared" si="33"/>
        <v>1463.7664285714282</v>
      </c>
      <c r="K69" s="128">
        <f>VLOOKUP($F69,'Leistungswerte UHR Schulen'!$C$6:$F$38,4,FALSE)</f>
        <v>0</v>
      </c>
      <c r="L69" s="496" t="str">
        <f t="shared" si="9"/>
        <v/>
      </c>
      <c r="M69" s="129">
        <f t="shared" si="34"/>
        <v>0</v>
      </c>
      <c r="N69" s="547">
        <f t="shared" si="4"/>
        <v>0</v>
      </c>
      <c r="O69" s="130">
        <f t="shared" si="35"/>
        <v>0</v>
      </c>
      <c r="P69" s="131">
        <f t="shared" si="6"/>
        <v>0</v>
      </c>
      <c r="Q69" s="578">
        <f t="shared" si="10"/>
        <v>1</v>
      </c>
      <c r="R69" s="587"/>
      <c r="S69" s="482"/>
      <c r="T69" s="482"/>
      <c r="U69" s="482"/>
      <c r="V69" s="482"/>
      <c r="W69" s="482"/>
      <c r="X69" s="482"/>
      <c r="Y69" s="482"/>
      <c r="Z69" s="482"/>
      <c r="AA69" s="482"/>
      <c r="AB69" s="482"/>
      <c r="AC69" s="482"/>
      <c r="AD69" s="482"/>
      <c r="AE69" s="482"/>
      <c r="AF69" s="482"/>
      <c r="AG69" s="482"/>
      <c r="AH69" s="482"/>
      <c r="AI69" s="482"/>
      <c r="AJ69" s="482"/>
      <c r="AK69" s="482"/>
      <c r="AL69" s="482"/>
      <c r="AM69" s="482"/>
      <c r="AN69" s="482"/>
      <c r="AO69" s="482"/>
      <c r="AP69" s="482"/>
      <c r="AQ69" s="482"/>
      <c r="AR69" s="482"/>
      <c r="AS69" s="482"/>
      <c r="AT69" s="482"/>
      <c r="AU69" s="482"/>
      <c r="AV69" s="482"/>
      <c r="AW69" s="483"/>
      <c r="AX69" s="484">
        <f t="shared" si="11"/>
        <v>0</v>
      </c>
      <c r="AY69" s="501" t="str">
        <f t="shared" si="7"/>
        <v/>
      </c>
      <c r="AZ69" s="488">
        <f t="shared" si="8"/>
        <v>0</v>
      </c>
    </row>
    <row r="70" spans="1:52" s="57" customFormat="1" ht="24.9" customHeight="1" x14ac:dyDescent="0.25">
      <c r="A70" s="425" t="s">
        <v>361</v>
      </c>
      <c r="B70" s="97" t="s">
        <v>364</v>
      </c>
      <c r="C70" s="97" t="s">
        <v>438</v>
      </c>
      <c r="D70" s="145" t="s">
        <v>439</v>
      </c>
      <c r="E70" s="230" t="s">
        <v>169</v>
      </c>
      <c r="F70" s="414" t="s">
        <v>890</v>
      </c>
      <c r="G70" s="127">
        <v>64.760000000000005</v>
      </c>
      <c r="H70" s="303" t="str">
        <f>VLOOKUP($F70,'Leistungswerte UHR Schulen'!$C$6:$F$38,3,FALSE)</f>
        <v>W3</v>
      </c>
      <c r="I70" s="328">
        <f>VLOOKUP(H70,Turnus!$D$9:$E$26,2,FALSE)</f>
        <v>114.53571428571426</v>
      </c>
      <c r="J70" s="127">
        <f t="shared" si="33"/>
        <v>7417.3328571428565</v>
      </c>
      <c r="K70" s="128">
        <f>VLOOKUP($F70,'Leistungswerte UHR Schulen'!$C$6:$F$38,4,FALSE)</f>
        <v>0</v>
      </c>
      <c r="L70" s="496" t="str">
        <f t="shared" si="9"/>
        <v/>
      </c>
      <c r="M70" s="129">
        <f t="shared" si="34"/>
        <v>0</v>
      </c>
      <c r="N70" s="547">
        <f t="shared" si="4"/>
        <v>0</v>
      </c>
      <c r="O70" s="130">
        <f t="shared" si="35"/>
        <v>0</v>
      </c>
      <c r="P70" s="131">
        <f t="shared" si="6"/>
        <v>0</v>
      </c>
      <c r="Q70" s="578">
        <f t="shared" si="10"/>
        <v>1</v>
      </c>
      <c r="R70" s="587"/>
      <c r="S70" s="482"/>
      <c r="T70" s="482"/>
      <c r="U70" s="482"/>
      <c r="V70" s="482"/>
      <c r="W70" s="482"/>
      <c r="X70" s="482"/>
      <c r="Y70" s="482"/>
      <c r="Z70" s="482"/>
      <c r="AA70" s="482"/>
      <c r="AB70" s="482"/>
      <c r="AC70" s="482"/>
      <c r="AD70" s="482"/>
      <c r="AE70" s="482"/>
      <c r="AF70" s="482"/>
      <c r="AG70" s="482"/>
      <c r="AH70" s="482"/>
      <c r="AI70" s="482"/>
      <c r="AJ70" s="482"/>
      <c r="AK70" s="482"/>
      <c r="AL70" s="482"/>
      <c r="AM70" s="482"/>
      <c r="AN70" s="482"/>
      <c r="AO70" s="482"/>
      <c r="AP70" s="482"/>
      <c r="AQ70" s="482"/>
      <c r="AR70" s="482"/>
      <c r="AS70" s="482"/>
      <c r="AT70" s="482"/>
      <c r="AU70" s="482"/>
      <c r="AV70" s="482"/>
      <c r="AW70" s="483"/>
      <c r="AX70" s="484">
        <f t="shared" si="11"/>
        <v>0</v>
      </c>
      <c r="AY70" s="501" t="str">
        <f t="shared" si="7"/>
        <v/>
      </c>
      <c r="AZ70" s="488">
        <f t="shared" si="8"/>
        <v>0</v>
      </c>
    </row>
    <row r="71" spans="1:52" s="57" customFormat="1" ht="24.9" customHeight="1" x14ac:dyDescent="0.25">
      <c r="A71" s="425" t="s">
        <v>361</v>
      </c>
      <c r="B71" s="97" t="s">
        <v>364</v>
      </c>
      <c r="C71" s="97" t="s">
        <v>448</v>
      </c>
      <c r="D71" s="145" t="s">
        <v>102</v>
      </c>
      <c r="E71" s="230" t="s">
        <v>253</v>
      </c>
      <c r="F71" s="414" t="s">
        <v>676</v>
      </c>
      <c r="G71" s="127">
        <v>49.24</v>
      </c>
      <c r="H71" s="303" t="str">
        <f>VLOOKUP($F71,'Leistungswerte UHR Schulen'!$C$6:$F$38,3,FALSE)</f>
        <v>W5</v>
      </c>
      <c r="I71" s="328">
        <f>VLOOKUP(H71,Turnus!$D$9:$E$26,2,FALSE)</f>
        <v>188.46428571428572</v>
      </c>
      <c r="J71" s="127">
        <f t="shared" si="33"/>
        <v>9279.9814285714292</v>
      </c>
      <c r="K71" s="128">
        <f>VLOOKUP($F71,'Leistungswerte UHR Schulen'!$C$6:$F$38,4,FALSE)</f>
        <v>0</v>
      </c>
      <c r="L71" s="496" t="str">
        <f t="shared" si="9"/>
        <v/>
      </c>
      <c r="M71" s="129">
        <f t="shared" si="34"/>
        <v>0</v>
      </c>
      <c r="N71" s="547">
        <f t="shared" si="29"/>
        <v>0</v>
      </c>
      <c r="O71" s="130">
        <f t="shared" si="35"/>
        <v>0</v>
      </c>
      <c r="P71" s="131">
        <f t="shared" si="6"/>
        <v>0</v>
      </c>
      <c r="Q71" s="578">
        <f t="shared" si="10"/>
        <v>1</v>
      </c>
      <c r="R71" s="587"/>
      <c r="S71" s="482"/>
      <c r="T71" s="482"/>
      <c r="U71" s="482"/>
      <c r="V71" s="482"/>
      <c r="W71" s="482"/>
      <c r="X71" s="482"/>
      <c r="Y71" s="482"/>
      <c r="Z71" s="482"/>
      <c r="AA71" s="482"/>
      <c r="AB71" s="482"/>
      <c r="AC71" s="482"/>
      <c r="AD71" s="482"/>
      <c r="AE71" s="482"/>
      <c r="AF71" s="482"/>
      <c r="AG71" s="482"/>
      <c r="AH71" s="482"/>
      <c r="AI71" s="482"/>
      <c r="AJ71" s="482"/>
      <c r="AK71" s="482"/>
      <c r="AL71" s="482"/>
      <c r="AM71" s="482"/>
      <c r="AN71" s="482"/>
      <c r="AO71" s="482"/>
      <c r="AP71" s="482"/>
      <c r="AQ71" s="482"/>
      <c r="AR71" s="482"/>
      <c r="AS71" s="482"/>
      <c r="AT71" s="482"/>
      <c r="AU71" s="482"/>
      <c r="AV71" s="482"/>
      <c r="AW71" s="483"/>
      <c r="AX71" s="484">
        <f t="shared" si="11"/>
        <v>0</v>
      </c>
      <c r="AY71" s="501" t="str">
        <f t="shared" si="7"/>
        <v/>
      </c>
      <c r="AZ71" s="488">
        <f t="shared" si="8"/>
        <v>0</v>
      </c>
    </row>
    <row r="72" spans="1:52" s="57" customFormat="1" ht="24.9" customHeight="1" x14ac:dyDescent="0.25">
      <c r="A72" s="424" t="s">
        <v>362</v>
      </c>
      <c r="B72" s="97" t="s">
        <v>364</v>
      </c>
      <c r="C72" s="97" t="s">
        <v>429</v>
      </c>
      <c r="D72" s="145" t="s">
        <v>430</v>
      </c>
      <c r="E72" s="230" t="s">
        <v>169</v>
      </c>
      <c r="F72" s="414" t="s">
        <v>987</v>
      </c>
      <c r="G72" s="127">
        <v>90.89</v>
      </c>
      <c r="H72" s="303" t="str">
        <f>VLOOKUP($F72,'Leistungswerte UHR Kigas'!$C$6:$F$32,3,FALSE)</f>
        <v>W5</v>
      </c>
      <c r="I72" s="328">
        <f>VLOOKUP(H72,Turnus!$H$9:$I$26,2,FALSE)</f>
        <v>230</v>
      </c>
      <c r="J72" s="127">
        <f t="shared" si="33"/>
        <v>20904.7</v>
      </c>
      <c r="K72" s="128">
        <f>VLOOKUP($F72,'Leistungswerte UHR Kigas'!$C$6:$F$44,4,FALSE)</f>
        <v>0</v>
      </c>
      <c r="L72" s="496" t="str">
        <f t="shared" si="9"/>
        <v/>
      </c>
      <c r="M72" s="129">
        <f t="shared" si="34"/>
        <v>0</v>
      </c>
      <c r="N72" s="547">
        <f t="shared" si="4"/>
        <v>0</v>
      </c>
      <c r="O72" s="130">
        <f t="shared" si="35"/>
        <v>0</v>
      </c>
      <c r="P72" s="131">
        <f t="shared" ref="P72:P135" si="36">+M72*N72</f>
        <v>0</v>
      </c>
      <c r="Q72" s="578">
        <f t="shared" si="10"/>
        <v>2</v>
      </c>
      <c r="R72" s="587"/>
      <c r="S72" s="482"/>
      <c r="T72" s="482"/>
      <c r="U72" s="482"/>
      <c r="V72" s="482"/>
      <c r="W72" s="482"/>
      <c r="X72" s="482"/>
      <c r="Y72" s="482"/>
      <c r="Z72" s="482"/>
      <c r="AA72" s="482"/>
      <c r="AB72" s="482"/>
      <c r="AC72" s="482"/>
      <c r="AD72" s="482"/>
      <c r="AE72" s="482"/>
      <c r="AF72" s="482"/>
      <c r="AG72" s="482"/>
      <c r="AH72" s="482"/>
      <c r="AI72" s="482"/>
      <c r="AJ72" s="482"/>
      <c r="AK72" s="482"/>
      <c r="AL72" s="482"/>
      <c r="AM72" s="482"/>
      <c r="AN72" s="482"/>
      <c r="AO72" s="482"/>
      <c r="AP72" s="482"/>
      <c r="AQ72" s="482"/>
      <c r="AR72" s="482"/>
      <c r="AS72" s="482"/>
      <c r="AT72" s="482"/>
      <c r="AU72" s="482"/>
      <c r="AV72" s="482"/>
      <c r="AW72" s="483"/>
      <c r="AX72" s="484">
        <f t="shared" si="11"/>
        <v>0</v>
      </c>
      <c r="AY72" s="501" t="str">
        <f t="shared" ref="AY72:AY135" si="37">IFERROR(L72*AX72,"")</f>
        <v/>
      </c>
      <c r="AZ72" s="488">
        <f t="shared" ref="AZ72:AZ135" si="38">AX72*O72</f>
        <v>0</v>
      </c>
    </row>
    <row r="73" spans="1:52" s="57" customFormat="1" ht="24.9" customHeight="1" x14ac:dyDescent="0.25">
      <c r="A73" s="424" t="s">
        <v>362</v>
      </c>
      <c r="B73" s="97" t="s">
        <v>364</v>
      </c>
      <c r="C73" s="97" t="s">
        <v>449</v>
      </c>
      <c r="D73" s="145" t="s">
        <v>102</v>
      </c>
      <c r="E73" s="230" t="s">
        <v>253</v>
      </c>
      <c r="F73" s="414" t="s">
        <v>676</v>
      </c>
      <c r="G73" s="127">
        <v>32.08</v>
      </c>
      <c r="H73" s="303" t="str">
        <f>VLOOKUP($F73,'Leistungswerte UHR Kigas'!$C$6:$F$32,3,FALSE)</f>
        <v>W5</v>
      </c>
      <c r="I73" s="328">
        <f>VLOOKUP(H73,Turnus!$H$9:$I$26,2,FALSE)</f>
        <v>230</v>
      </c>
      <c r="J73" s="127">
        <f t="shared" si="33"/>
        <v>7378.4</v>
      </c>
      <c r="K73" s="128">
        <f>VLOOKUP($F73,'Leistungswerte UHR Kigas'!$C$6:$F$44,4,FALSE)</f>
        <v>0</v>
      </c>
      <c r="L73" s="496" t="str">
        <f t="shared" si="9"/>
        <v/>
      </c>
      <c r="M73" s="129">
        <f t="shared" si="34"/>
        <v>0</v>
      </c>
      <c r="N73" s="547">
        <f t="shared" si="29"/>
        <v>0</v>
      </c>
      <c r="O73" s="130">
        <f t="shared" si="35"/>
        <v>0</v>
      </c>
      <c r="P73" s="131">
        <f t="shared" si="36"/>
        <v>0</v>
      </c>
      <c r="Q73" s="578">
        <f t="shared" ref="Q73:Q136" si="39">IF(A73="Schule",1,IF(A73="Sporthalle",1,2))</f>
        <v>2</v>
      </c>
      <c r="R73" s="587"/>
      <c r="S73" s="482"/>
      <c r="T73" s="482"/>
      <c r="U73" s="482"/>
      <c r="V73" s="482"/>
      <c r="W73" s="482"/>
      <c r="X73" s="482"/>
      <c r="Y73" s="482"/>
      <c r="Z73" s="482"/>
      <c r="AA73" s="482"/>
      <c r="AB73" s="482"/>
      <c r="AC73" s="482"/>
      <c r="AD73" s="482"/>
      <c r="AE73" s="482"/>
      <c r="AF73" s="482"/>
      <c r="AG73" s="482"/>
      <c r="AH73" s="482"/>
      <c r="AI73" s="482"/>
      <c r="AJ73" s="482"/>
      <c r="AK73" s="482"/>
      <c r="AL73" s="482"/>
      <c r="AM73" s="482"/>
      <c r="AN73" s="482"/>
      <c r="AO73" s="482"/>
      <c r="AP73" s="482"/>
      <c r="AQ73" s="482"/>
      <c r="AR73" s="482"/>
      <c r="AS73" s="482"/>
      <c r="AT73" s="482"/>
      <c r="AU73" s="482"/>
      <c r="AV73" s="482"/>
      <c r="AW73" s="483"/>
      <c r="AX73" s="484">
        <f t="shared" si="11"/>
        <v>0</v>
      </c>
      <c r="AY73" s="501" t="str">
        <f t="shared" si="37"/>
        <v/>
      </c>
      <c r="AZ73" s="488">
        <f t="shared" si="38"/>
        <v>0</v>
      </c>
    </row>
    <row r="74" spans="1:52" s="57" customFormat="1" ht="24.9" customHeight="1" x14ac:dyDescent="0.25">
      <c r="A74" s="424" t="s">
        <v>362</v>
      </c>
      <c r="B74" s="97" t="s">
        <v>364</v>
      </c>
      <c r="C74" s="97" t="s">
        <v>431</v>
      </c>
      <c r="D74" s="145" t="s">
        <v>270</v>
      </c>
      <c r="E74" s="230" t="s">
        <v>171</v>
      </c>
      <c r="F74" s="414" t="s">
        <v>670</v>
      </c>
      <c r="G74" s="127">
        <v>11.47</v>
      </c>
      <c r="H74" s="303" t="str">
        <f>VLOOKUP($F74,'Leistungswerte UHR Kigas'!$C$6:$F$32,3,FALSE)</f>
        <v>W5</v>
      </c>
      <c r="I74" s="328">
        <f>VLOOKUP(H74,Turnus!$H$9:$I$26,2,FALSE)</f>
        <v>230</v>
      </c>
      <c r="J74" s="127">
        <f t="shared" si="33"/>
        <v>2638.1000000000004</v>
      </c>
      <c r="K74" s="128">
        <f>VLOOKUP($F74,'Leistungswerte UHR Kigas'!$C$6:$F$44,4,FALSE)</f>
        <v>0</v>
      </c>
      <c r="L74" s="496" t="str">
        <f t="shared" ref="L74:L137" si="40">IFERROR(G74/K74,"")</f>
        <v/>
      </c>
      <c r="M74" s="129">
        <f t="shared" si="34"/>
        <v>0</v>
      </c>
      <c r="N74" s="547">
        <f t="shared" si="4"/>
        <v>0</v>
      </c>
      <c r="O74" s="130">
        <f t="shared" si="35"/>
        <v>0</v>
      </c>
      <c r="P74" s="131">
        <f t="shared" si="36"/>
        <v>0</v>
      </c>
      <c r="Q74" s="578">
        <f t="shared" si="39"/>
        <v>2</v>
      </c>
      <c r="R74" s="587"/>
      <c r="S74" s="482"/>
      <c r="T74" s="482"/>
      <c r="U74" s="482"/>
      <c r="V74" s="482"/>
      <c r="W74" s="482"/>
      <c r="X74" s="482"/>
      <c r="Y74" s="482"/>
      <c r="Z74" s="482"/>
      <c r="AA74" s="482"/>
      <c r="AB74" s="482"/>
      <c r="AC74" s="482"/>
      <c r="AD74" s="482"/>
      <c r="AE74" s="482"/>
      <c r="AF74" s="482"/>
      <c r="AG74" s="482"/>
      <c r="AH74" s="482"/>
      <c r="AI74" s="482"/>
      <c r="AJ74" s="482"/>
      <c r="AK74" s="482"/>
      <c r="AL74" s="482"/>
      <c r="AM74" s="482"/>
      <c r="AN74" s="482"/>
      <c r="AO74" s="482"/>
      <c r="AP74" s="482"/>
      <c r="AQ74" s="482"/>
      <c r="AR74" s="482"/>
      <c r="AS74" s="482"/>
      <c r="AT74" s="482"/>
      <c r="AU74" s="482"/>
      <c r="AV74" s="482"/>
      <c r="AW74" s="483"/>
      <c r="AX74" s="484">
        <f t="shared" ref="AX74:AX137" si="41">SUM(S74:AW74)</f>
        <v>0</v>
      </c>
      <c r="AY74" s="501" t="str">
        <f t="shared" si="37"/>
        <v/>
      </c>
      <c r="AZ74" s="488">
        <f t="shared" si="38"/>
        <v>0</v>
      </c>
    </row>
    <row r="75" spans="1:52" s="57" customFormat="1" ht="24.9" customHeight="1" x14ac:dyDescent="0.25">
      <c r="A75" s="424" t="s">
        <v>362</v>
      </c>
      <c r="B75" s="97" t="s">
        <v>364</v>
      </c>
      <c r="C75" s="97" t="s">
        <v>432</v>
      </c>
      <c r="D75" s="145" t="s">
        <v>387</v>
      </c>
      <c r="E75" s="230" t="s">
        <v>171</v>
      </c>
      <c r="F75" s="414" t="s">
        <v>670</v>
      </c>
      <c r="G75" s="127">
        <v>7.42</v>
      </c>
      <c r="H75" s="303" t="str">
        <f>VLOOKUP($F75,'Leistungswerte UHR Kigas'!$C$6:$F$32,3,FALSE)</f>
        <v>W5</v>
      </c>
      <c r="I75" s="328">
        <f>VLOOKUP(H75,Turnus!$H$9:$I$26,2,FALSE)</f>
        <v>230</v>
      </c>
      <c r="J75" s="127">
        <f t="shared" si="33"/>
        <v>1706.6</v>
      </c>
      <c r="K75" s="128">
        <f>VLOOKUP($F75,'Leistungswerte UHR Kigas'!$C$6:$F$44,4,FALSE)</f>
        <v>0</v>
      </c>
      <c r="L75" s="496" t="str">
        <f t="shared" si="40"/>
        <v/>
      </c>
      <c r="M75" s="129">
        <f t="shared" si="34"/>
        <v>0</v>
      </c>
      <c r="N75" s="547">
        <f t="shared" si="4"/>
        <v>0</v>
      </c>
      <c r="O75" s="130">
        <f t="shared" si="35"/>
        <v>0</v>
      </c>
      <c r="P75" s="131">
        <f t="shared" si="36"/>
        <v>0</v>
      </c>
      <c r="Q75" s="578">
        <f t="shared" si="39"/>
        <v>2</v>
      </c>
      <c r="R75" s="587"/>
      <c r="S75" s="482"/>
      <c r="T75" s="482"/>
      <c r="U75" s="482"/>
      <c r="V75" s="482"/>
      <c r="W75" s="482"/>
      <c r="X75" s="482"/>
      <c r="Y75" s="482"/>
      <c r="Z75" s="482"/>
      <c r="AA75" s="482"/>
      <c r="AB75" s="482"/>
      <c r="AC75" s="482"/>
      <c r="AD75" s="482"/>
      <c r="AE75" s="482"/>
      <c r="AF75" s="482"/>
      <c r="AG75" s="482"/>
      <c r="AH75" s="482"/>
      <c r="AI75" s="482"/>
      <c r="AJ75" s="482"/>
      <c r="AK75" s="482"/>
      <c r="AL75" s="482"/>
      <c r="AM75" s="482"/>
      <c r="AN75" s="482"/>
      <c r="AO75" s="482"/>
      <c r="AP75" s="482"/>
      <c r="AQ75" s="482"/>
      <c r="AR75" s="482"/>
      <c r="AS75" s="482"/>
      <c r="AT75" s="482"/>
      <c r="AU75" s="482"/>
      <c r="AV75" s="482"/>
      <c r="AW75" s="483"/>
      <c r="AX75" s="484">
        <f t="shared" si="41"/>
        <v>0</v>
      </c>
      <c r="AY75" s="501" t="str">
        <f t="shared" si="37"/>
        <v/>
      </c>
      <c r="AZ75" s="488">
        <f t="shared" si="38"/>
        <v>0</v>
      </c>
    </row>
    <row r="76" spans="1:52" s="57" customFormat="1" ht="24.9" customHeight="1" x14ac:dyDescent="0.25">
      <c r="A76" s="424" t="s">
        <v>362</v>
      </c>
      <c r="B76" s="97" t="s">
        <v>364</v>
      </c>
      <c r="C76" s="97" t="s">
        <v>433</v>
      </c>
      <c r="D76" s="145" t="s">
        <v>385</v>
      </c>
      <c r="E76" s="230" t="s">
        <v>171</v>
      </c>
      <c r="F76" s="414" t="s">
        <v>670</v>
      </c>
      <c r="G76" s="127">
        <v>11.47</v>
      </c>
      <c r="H76" s="303" t="str">
        <f>VLOOKUP($F76,'Leistungswerte UHR Kigas'!$C$6:$F$32,3,FALSE)</f>
        <v>W5</v>
      </c>
      <c r="I76" s="328">
        <f>VLOOKUP(H76,Turnus!$H$9:$I$26,2,FALSE)</f>
        <v>230</v>
      </c>
      <c r="J76" s="127">
        <f t="shared" si="33"/>
        <v>2638.1000000000004</v>
      </c>
      <c r="K76" s="128">
        <f>VLOOKUP($F76,'Leistungswerte UHR Kigas'!$C$6:$F$44,4,FALSE)</f>
        <v>0</v>
      </c>
      <c r="L76" s="496" t="str">
        <f t="shared" si="40"/>
        <v/>
      </c>
      <c r="M76" s="129">
        <f t="shared" si="34"/>
        <v>0</v>
      </c>
      <c r="N76" s="547">
        <f t="shared" si="4"/>
        <v>0</v>
      </c>
      <c r="O76" s="130">
        <f t="shared" si="35"/>
        <v>0</v>
      </c>
      <c r="P76" s="131">
        <f t="shared" si="36"/>
        <v>0</v>
      </c>
      <c r="Q76" s="578">
        <f t="shared" si="39"/>
        <v>2</v>
      </c>
      <c r="R76" s="587"/>
      <c r="S76" s="482"/>
      <c r="T76" s="482"/>
      <c r="U76" s="482"/>
      <c r="V76" s="482"/>
      <c r="W76" s="482"/>
      <c r="X76" s="482"/>
      <c r="Y76" s="482"/>
      <c r="Z76" s="482"/>
      <c r="AA76" s="482"/>
      <c r="AB76" s="482"/>
      <c r="AC76" s="482"/>
      <c r="AD76" s="482"/>
      <c r="AE76" s="482"/>
      <c r="AF76" s="482"/>
      <c r="AG76" s="482"/>
      <c r="AH76" s="482"/>
      <c r="AI76" s="482"/>
      <c r="AJ76" s="482"/>
      <c r="AK76" s="482"/>
      <c r="AL76" s="482"/>
      <c r="AM76" s="482"/>
      <c r="AN76" s="482"/>
      <c r="AO76" s="482"/>
      <c r="AP76" s="482"/>
      <c r="AQ76" s="482"/>
      <c r="AR76" s="482"/>
      <c r="AS76" s="482"/>
      <c r="AT76" s="482"/>
      <c r="AU76" s="482"/>
      <c r="AV76" s="482"/>
      <c r="AW76" s="483"/>
      <c r="AX76" s="484">
        <f t="shared" si="41"/>
        <v>0</v>
      </c>
      <c r="AY76" s="501" t="str">
        <f t="shared" si="37"/>
        <v/>
      </c>
      <c r="AZ76" s="488">
        <f t="shared" si="38"/>
        <v>0</v>
      </c>
    </row>
    <row r="77" spans="1:52" s="57" customFormat="1" ht="24.9" customHeight="1" x14ac:dyDescent="0.25">
      <c r="A77" s="424" t="s">
        <v>362</v>
      </c>
      <c r="B77" s="97" t="s">
        <v>364</v>
      </c>
      <c r="C77" s="97" t="s">
        <v>450</v>
      </c>
      <c r="D77" s="145" t="s">
        <v>102</v>
      </c>
      <c r="E77" s="230" t="s">
        <v>253</v>
      </c>
      <c r="F77" s="414" t="s">
        <v>676</v>
      </c>
      <c r="G77" s="127">
        <v>49.07</v>
      </c>
      <c r="H77" s="303" t="str">
        <f>VLOOKUP($F77,'Leistungswerte UHR Kigas'!$C$6:$F$32,3,FALSE)</f>
        <v>W5</v>
      </c>
      <c r="I77" s="328">
        <f>VLOOKUP(H77,Turnus!$H$9:$I$26,2,FALSE)</f>
        <v>230</v>
      </c>
      <c r="J77" s="127">
        <f t="shared" si="33"/>
        <v>11286.1</v>
      </c>
      <c r="K77" s="128">
        <f>VLOOKUP($F77,'Leistungswerte UHR Kigas'!$C$6:$F$44,4,FALSE)</f>
        <v>0</v>
      </c>
      <c r="L77" s="496" t="str">
        <f t="shared" si="40"/>
        <v/>
      </c>
      <c r="M77" s="129">
        <f t="shared" si="34"/>
        <v>0</v>
      </c>
      <c r="N77" s="547">
        <f t="shared" si="29"/>
        <v>0</v>
      </c>
      <c r="O77" s="130">
        <f t="shared" si="35"/>
        <v>0</v>
      </c>
      <c r="P77" s="131">
        <f t="shared" si="36"/>
        <v>0</v>
      </c>
      <c r="Q77" s="578">
        <f t="shared" si="39"/>
        <v>2</v>
      </c>
      <c r="R77" s="587"/>
      <c r="S77" s="482"/>
      <c r="T77" s="482"/>
      <c r="U77" s="482"/>
      <c r="V77" s="482"/>
      <c r="W77" s="482"/>
      <c r="X77" s="482"/>
      <c r="Y77" s="482"/>
      <c r="Z77" s="482"/>
      <c r="AA77" s="482"/>
      <c r="AB77" s="482"/>
      <c r="AC77" s="482"/>
      <c r="AD77" s="482"/>
      <c r="AE77" s="482"/>
      <c r="AF77" s="482"/>
      <c r="AG77" s="482"/>
      <c r="AH77" s="482"/>
      <c r="AI77" s="482"/>
      <c r="AJ77" s="482"/>
      <c r="AK77" s="482"/>
      <c r="AL77" s="482"/>
      <c r="AM77" s="482"/>
      <c r="AN77" s="482"/>
      <c r="AO77" s="482"/>
      <c r="AP77" s="482"/>
      <c r="AQ77" s="482"/>
      <c r="AR77" s="482"/>
      <c r="AS77" s="482"/>
      <c r="AT77" s="482"/>
      <c r="AU77" s="482"/>
      <c r="AV77" s="482"/>
      <c r="AW77" s="483"/>
      <c r="AX77" s="484">
        <f t="shared" si="41"/>
        <v>0</v>
      </c>
      <c r="AY77" s="501" t="str">
        <f t="shared" si="37"/>
        <v/>
      </c>
      <c r="AZ77" s="488">
        <f t="shared" si="38"/>
        <v>0</v>
      </c>
    </row>
    <row r="78" spans="1:52" s="57" customFormat="1" ht="24.9" customHeight="1" x14ac:dyDescent="0.25">
      <c r="A78" s="424" t="s">
        <v>362</v>
      </c>
      <c r="B78" s="97" t="s">
        <v>364</v>
      </c>
      <c r="C78" s="97" t="s">
        <v>440</v>
      </c>
      <c r="D78" s="145" t="s">
        <v>259</v>
      </c>
      <c r="E78" s="230" t="s">
        <v>169</v>
      </c>
      <c r="F78" s="414" t="s">
        <v>669</v>
      </c>
      <c r="G78" s="127">
        <v>64.760000000000005</v>
      </c>
      <c r="H78" s="303" t="str">
        <f>VLOOKUP($F78,'Leistungswerte UHR Kigas'!$C$6:$F$32,3,FALSE)</f>
        <v>W5</v>
      </c>
      <c r="I78" s="328">
        <f>VLOOKUP(H78,Turnus!$H$9:$I$26,2,FALSE)</f>
        <v>230</v>
      </c>
      <c r="J78" s="127">
        <f t="shared" si="33"/>
        <v>14894.800000000001</v>
      </c>
      <c r="K78" s="128">
        <f>VLOOKUP($F78,'Leistungswerte UHR Kigas'!$C$6:$F$44,4,FALSE)</f>
        <v>0</v>
      </c>
      <c r="L78" s="496" t="str">
        <f t="shared" si="40"/>
        <v/>
      </c>
      <c r="M78" s="129">
        <f t="shared" si="34"/>
        <v>0</v>
      </c>
      <c r="N78" s="547">
        <f t="shared" si="4"/>
        <v>0</v>
      </c>
      <c r="O78" s="130">
        <f t="shared" si="35"/>
        <v>0</v>
      </c>
      <c r="P78" s="131">
        <f t="shared" si="36"/>
        <v>0</v>
      </c>
      <c r="Q78" s="578">
        <f t="shared" si="39"/>
        <v>2</v>
      </c>
      <c r="R78" s="587"/>
      <c r="S78" s="482"/>
      <c r="T78" s="482"/>
      <c r="U78" s="482"/>
      <c r="V78" s="482"/>
      <c r="W78" s="482"/>
      <c r="X78" s="482"/>
      <c r="Y78" s="482"/>
      <c r="Z78" s="482"/>
      <c r="AA78" s="482"/>
      <c r="AB78" s="482"/>
      <c r="AC78" s="482"/>
      <c r="AD78" s="482"/>
      <c r="AE78" s="482"/>
      <c r="AF78" s="482"/>
      <c r="AG78" s="482"/>
      <c r="AH78" s="482"/>
      <c r="AI78" s="482"/>
      <c r="AJ78" s="482"/>
      <c r="AK78" s="482"/>
      <c r="AL78" s="482"/>
      <c r="AM78" s="482"/>
      <c r="AN78" s="482"/>
      <c r="AO78" s="482"/>
      <c r="AP78" s="482"/>
      <c r="AQ78" s="482"/>
      <c r="AR78" s="482"/>
      <c r="AS78" s="482"/>
      <c r="AT78" s="482"/>
      <c r="AU78" s="482"/>
      <c r="AV78" s="482"/>
      <c r="AW78" s="483"/>
      <c r="AX78" s="484">
        <f t="shared" si="41"/>
        <v>0</v>
      </c>
      <c r="AY78" s="501" t="str">
        <f t="shared" si="37"/>
        <v/>
      </c>
      <c r="AZ78" s="488">
        <f t="shared" si="38"/>
        <v>0</v>
      </c>
    </row>
    <row r="79" spans="1:52" s="57" customFormat="1" ht="24.9" customHeight="1" x14ac:dyDescent="0.25">
      <c r="A79" s="424" t="s">
        <v>362</v>
      </c>
      <c r="B79" s="97" t="s">
        <v>364</v>
      </c>
      <c r="C79" s="97" t="s">
        <v>441</v>
      </c>
      <c r="D79" s="145" t="s">
        <v>259</v>
      </c>
      <c r="E79" s="230" t="s">
        <v>169</v>
      </c>
      <c r="F79" s="414" t="s">
        <v>669</v>
      </c>
      <c r="G79" s="127">
        <v>31.88</v>
      </c>
      <c r="H79" s="303" t="str">
        <f>VLOOKUP($F79,'Leistungswerte UHR Kigas'!$C$6:$F$32,3,FALSE)</f>
        <v>W5</v>
      </c>
      <c r="I79" s="328">
        <f>VLOOKUP(H79,Turnus!$H$9:$I$26,2,FALSE)</f>
        <v>230</v>
      </c>
      <c r="J79" s="127">
        <f t="shared" si="33"/>
        <v>7332.4</v>
      </c>
      <c r="K79" s="128">
        <f>VLOOKUP($F79,'Leistungswerte UHR Kigas'!$C$6:$F$44,4,FALSE)</f>
        <v>0</v>
      </c>
      <c r="L79" s="496" t="str">
        <f t="shared" si="40"/>
        <v/>
      </c>
      <c r="M79" s="129">
        <f t="shared" si="34"/>
        <v>0</v>
      </c>
      <c r="N79" s="547">
        <f t="shared" si="4"/>
        <v>0</v>
      </c>
      <c r="O79" s="130">
        <f t="shared" si="35"/>
        <v>0</v>
      </c>
      <c r="P79" s="131">
        <f t="shared" si="36"/>
        <v>0</v>
      </c>
      <c r="Q79" s="578">
        <f t="shared" si="39"/>
        <v>2</v>
      </c>
      <c r="R79" s="587"/>
      <c r="S79" s="482"/>
      <c r="T79" s="482"/>
      <c r="U79" s="482"/>
      <c r="V79" s="482"/>
      <c r="W79" s="482"/>
      <c r="X79" s="482"/>
      <c r="Y79" s="482"/>
      <c r="Z79" s="482"/>
      <c r="AA79" s="482"/>
      <c r="AB79" s="482"/>
      <c r="AC79" s="482"/>
      <c r="AD79" s="482"/>
      <c r="AE79" s="482"/>
      <c r="AF79" s="482"/>
      <c r="AG79" s="482"/>
      <c r="AH79" s="482"/>
      <c r="AI79" s="482"/>
      <c r="AJ79" s="482"/>
      <c r="AK79" s="482"/>
      <c r="AL79" s="482"/>
      <c r="AM79" s="482"/>
      <c r="AN79" s="482"/>
      <c r="AO79" s="482"/>
      <c r="AP79" s="482"/>
      <c r="AQ79" s="482"/>
      <c r="AR79" s="482"/>
      <c r="AS79" s="482"/>
      <c r="AT79" s="482"/>
      <c r="AU79" s="482"/>
      <c r="AV79" s="482"/>
      <c r="AW79" s="483"/>
      <c r="AX79" s="484">
        <f t="shared" si="41"/>
        <v>0</v>
      </c>
      <c r="AY79" s="501" t="str">
        <f t="shared" si="37"/>
        <v/>
      </c>
      <c r="AZ79" s="488">
        <f t="shared" si="38"/>
        <v>0</v>
      </c>
    </row>
    <row r="80" spans="1:52" s="57" customFormat="1" ht="24.9" customHeight="1" x14ac:dyDescent="0.25">
      <c r="A80" s="424" t="s">
        <v>362</v>
      </c>
      <c r="B80" s="97" t="s">
        <v>364</v>
      </c>
      <c r="C80" s="97" t="s">
        <v>442</v>
      </c>
      <c r="D80" s="145" t="s">
        <v>443</v>
      </c>
      <c r="E80" s="230" t="s">
        <v>169</v>
      </c>
      <c r="F80" s="414" t="s">
        <v>669</v>
      </c>
      <c r="G80" s="127">
        <v>31.88</v>
      </c>
      <c r="H80" s="303" t="str">
        <f>VLOOKUP($F80,'Leistungswerte UHR Kigas'!$C$6:$F$32,3,FALSE)</f>
        <v>W5</v>
      </c>
      <c r="I80" s="328">
        <f>VLOOKUP(H80,Turnus!$H$9:$I$26,2,FALSE)</f>
        <v>230</v>
      </c>
      <c r="J80" s="127">
        <f t="shared" si="33"/>
        <v>7332.4</v>
      </c>
      <c r="K80" s="128">
        <f>VLOOKUP($F80,'Leistungswerte UHR Kigas'!$C$6:$F$44,4,FALSE)</f>
        <v>0</v>
      </c>
      <c r="L80" s="496" t="str">
        <f t="shared" si="40"/>
        <v/>
      </c>
      <c r="M80" s="129">
        <f t="shared" si="34"/>
        <v>0</v>
      </c>
      <c r="N80" s="547">
        <f t="shared" si="4"/>
        <v>0</v>
      </c>
      <c r="O80" s="130">
        <f t="shared" si="35"/>
        <v>0</v>
      </c>
      <c r="P80" s="131">
        <f t="shared" si="36"/>
        <v>0</v>
      </c>
      <c r="Q80" s="578">
        <f t="shared" si="39"/>
        <v>2</v>
      </c>
      <c r="R80" s="587"/>
      <c r="S80" s="482"/>
      <c r="T80" s="482"/>
      <c r="U80" s="482"/>
      <c r="V80" s="482"/>
      <c r="W80" s="482"/>
      <c r="X80" s="482"/>
      <c r="Y80" s="482"/>
      <c r="Z80" s="482"/>
      <c r="AA80" s="482"/>
      <c r="AB80" s="482"/>
      <c r="AC80" s="482"/>
      <c r="AD80" s="482"/>
      <c r="AE80" s="482"/>
      <c r="AF80" s="482"/>
      <c r="AG80" s="482"/>
      <c r="AH80" s="482"/>
      <c r="AI80" s="482"/>
      <c r="AJ80" s="482"/>
      <c r="AK80" s="482"/>
      <c r="AL80" s="482"/>
      <c r="AM80" s="482"/>
      <c r="AN80" s="482"/>
      <c r="AO80" s="482"/>
      <c r="AP80" s="482"/>
      <c r="AQ80" s="482"/>
      <c r="AR80" s="482"/>
      <c r="AS80" s="482"/>
      <c r="AT80" s="482"/>
      <c r="AU80" s="482"/>
      <c r="AV80" s="482"/>
      <c r="AW80" s="483"/>
      <c r="AX80" s="484">
        <f t="shared" si="41"/>
        <v>0</v>
      </c>
      <c r="AY80" s="501" t="str">
        <f t="shared" si="37"/>
        <v/>
      </c>
      <c r="AZ80" s="488">
        <f t="shared" si="38"/>
        <v>0</v>
      </c>
    </row>
    <row r="81" spans="1:52" s="57" customFormat="1" ht="24.9" customHeight="1" x14ac:dyDescent="0.25">
      <c r="A81" s="424" t="s">
        <v>362</v>
      </c>
      <c r="B81" s="97" t="s">
        <v>364</v>
      </c>
      <c r="C81" s="97" t="s">
        <v>444</v>
      </c>
      <c r="D81" s="145" t="s">
        <v>259</v>
      </c>
      <c r="E81" s="230" t="s">
        <v>169</v>
      </c>
      <c r="F81" s="414" t="s">
        <v>669</v>
      </c>
      <c r="G81" s="127">
        <v>64.760000000000005</v>
      </c>
      <c r="H81" s="303" t="str">
        <f>VLOOKUP($F81,'Leistungswerte UHR Kigas'!$C$6:$F$32,3,FALSE)</f>
        <v>W5</v>
      </c>
      <c r="I81" s="328">
        <f>VLOOKUP(H81,Turnus!$H$9:$I$26,2,FALSE)</f>
        <v>230</v>
      </c>
      <c r="J81" s="127">
        <f t="shared" si="33"/>
        <v>14894.800000000001</v>
      </c>
      <c r="K81" s="128">
        <f>VLOOKUP($F81,'Leistungswerte UHR Kigas'!$C$6:$F$44,4,FALSE)</f>
        <v>0</v>
      </c>
      <c r="L81" s="496" t="str">
        <f t="shared" si="40"/>
        <v/>
      </c>
      <c r="M81" s="129">
        <f t="shared" si="34"/>
        <v>0</v>
      </c>
      <c r="N81" s="547">
        <f t="shared" si="4"/>
        <v>0</v>
      </c>
      <c r="O81" s="130">
        <f t="shared" si="35"/>
        <v>0</v>
      </c>
      <c r="P81" s="131">
        <f t="shared" si="36"/>
        <v>0</v>
      </c>
      <c r="Q81" s="578">
        <f t="shared" si="39"/>
        <v>2</v>
      </c>
      <c r="R81" s="587"/>
      <c r="S81" s="482"/>
      <c r="T81" s="482"/>
      <c r="U81" s="482"/>
      <c r="V81" s="482"/>
      <c r="W81" s="482"/>
      <c r="X81" s="482"/>
      <c r="Y81" s="482"/>
      <c r="Z81" s="482"/>
      <c r="AA81" s="482"/>
      <c r="AB81" s="482"/>
      <c r="AC81" s="482"/>
      <c r="AD81" s="482"/>
      <c r="AE81" s="482"/>
      <c r="AF81" s="482"/>
      <c r="AG81" s="482"/>
      <c r="AH81" s="482"/>
      <c r="AI81" s="482"/>
      <c r="AJ81" s="482"/>
      <c r="AK81" s="482"/>
      <c r="AL81" s="482"/>
      <c r="AM81" s="482"/>
      <c r="AN81" s="482"/>
      <c r="AO81" s="482"/>
      <c r="AP81" s="482"/>
      <c r="AQ81" s="482"/>
      <c r="AR81" s="482"/>
      <c r="AS81" s="482"/>
      <c r="AT81" s="482"/>
      <c r="AU81" s="482"/>
      <c r="AV81" s="482"/>
      <c r="AW81" s="483"/>
      <c r="AX81" s="484">
        <f t="shared" si="41"/>
        <v>0</v>
      </c>
      <c r="AY81" s="501" t="str">
        <f t="shared" si="37"/>
        <v/>
      </c>
      <c r="AZ81" s="488">
        <f t="shared" si="38"/>
        <v>0</v>
      </c>
    </row>
    <row r="82" spans="1:52" s="57" customFormat="1" ht="24.9" customHeight="1" x14ac:dyDescent="0.25">
      <c r="A82" s="424" t="s">
        <v>362</v>
      </c>
      <c r="B82" s="97" t="s">
        <v>364</v>
      </c>
      <c r="C82" s="97" t="s">
        <v>451</v>
      </c>
      <c r="D82" s="230" t="s">
        <v>102</v>
      </c>
      <c r="E82" s="230" t="s">
        <v>253</v>
      </c>
      <c r="F82" s="414" t="s">
        <v>676</v>
      </c>
      <c r="G82" s="127">
        <v>66.97</v>
      </c>
      <c r="H82" s="303" t="str">
        <f>VLOOKUP($F82,'Leistungswerte UHR Kigas'!$C$6:$F$32,3,FALSE)</f>
        <v>W5</v>
      </c>
      <c r="I82" s="328">
        <f>VLOOKUP(H82,Turnus!$H$9:$I$26,2,FALSE)</f>
        <v>230</v>
      </c>
      <c r="J82" s="127">
        <f t="shared" si="33"/>
        <v>15403.1</v>
      </c>
      <c r="K82" s="128">
        <f>VLOOKUP($F82,'Leistungswerte UHR Kigas'!$C$6:$F$44,4,FALSE)</f>
        <v>0</v>
      </c>
      <c r="L82" s="496" t="str">
        <f t="shared" si="40"/>
        <v/>
      </c>
      <c r="M82" s="129">
        <f t="shared" si="34"/>
        <v>0</v>
      </c>
      <c r="N82" s="547">
        <f t="shared" si="29"/>
        <v>0</v>
      </c>
      <c r="O82" s="130">
        <f t="shared" si="35"/>
        <v>0</v>
      </c>
      <c r="P82" s="131">
        <f t="shared" si="36"/>
        <v>0</v>
      </c>
      <c r="Q82" s="578">
        <f t="shared" si="39"/>
        <v>2</v>
      </c>
      <c r="R82" s="587"/>
      <c r="S82" s="482"/>
      <c r="T82" s="482"/>
      <c r="U82" s="482"/>
      <c r="V82" s="482"/>
      <c r="W82" s="482"/>
      <c r="X82" s="482"/>
      <c r="Y82" s="482"/>
      <c r="Z82" s="482"/>
      <c r="AA82" s="482"/>
      <c r="AB82" s="482"/>
      <c r="AC82" s="482"/>
      <c r="AD82" s="482"/>
      <c r="AE82" s="482"/>
      <c r="AF82" s="482"/>
      <c r="AG82" s="482"/>
      <c r="AH82" s="482"/>
      <c r="AI82" s="482"/>
      <c r="AJ82" s="482"/>
      <c r="AK82" s="482"/>
      <c r="AL82" s="482"/>
      <c r="AM82" s="482"/>
      <c r="AN82" s="482"/>
      <c r="AO82" s="482"/>
      <c r="AP82" s="482"/>
      <c r="AQ82" s="482"/>
      <c r="AR82" s="482"/>
      <c r="AS82" s="482"/>
      <c r="AT82" s="482"/>
      <c r="AU82" s="482"/>
      <c r="AV82" s="482"/>
      <c r="AW82" s="483"/>
      <c r="AX82" s="484">
        <f t="shared" si="41"/>
        <v>0</v>
      </c>
      <c r="AY82" s="501" t="str">
        <f t="shared" si="37"/>
        <v/>
      </c>
      <c r="AZ82" s="488">
        <f t="shared" si="38"/>
        <v>0</v>
      </c>
    </row>
    <row r="83" spans="1:52" s="57" customFormat="1" ht="24.9" customHeight="1" x14ac:dyDescent="0.25">
      <c r="A83" s="424" t="s">
        <v>362</v>
      </c>
      <c r="B83" s="97" t="s">
        <v>364</v>
      </c>
      <c r="C83" s="97" t="s">
        <v>452</v>
      </c>
      <c r="D83" s="531" t="s">
        <v>266</v>
      </c>
      <c r="E83" s="230" t="s">
        <v>619</v>
      </c>
      <c r="F83" s="414" t="s">
        <v>674</v>
      </c>
      <c r="G83" s="127">
        <v>23.29</v>
      </c>
      <c r="H83" s="303" t="str">
        <f>VLOOKUP($F83,'Leistungswerte UHR Kigas'!$C$6:$F$32,3,FALSE)</f>
        <v>W5</v>
      </c>
      <c r="I83" s="328">
        <f>VLOOKUP(H83,Turnus!$H$9:$I$26,2,FALSE)</f>
        <v>230</v>
      </c>
      <c r="J83" s="127">
        <f t="shared" si="33"/>
        <v>5356.7</v>
      </c>
      <c r="K83" s="128">
        <f>VLOOKUP($F83,'Leistungswerte UHR Kigas'!$C$6:$F$44,4,FALSE)</f>
        <v>0</v>
      </c>
      <c r="L83" s="496" t="str">
        <f t="shared" si="40"/>
        <v/>
      </c>
      <c r="M83" s="129">
        <f t="shared" si="34"/>
        <v>0</v>
      </c>
      <c r="N83" s="547">
        <f t="shared" si="29"/>
        <v>0</v>
      </c>
      <c r="O83" s="130">
        <f t="shared" si="35"/>
        <v>0</v>
      </c>
      <c r="P83" s="131">
        <f t="shared" si="36"/>
        <v>0</v>
      </c>
      <c r="Q83" s="578">
        <f t="shared" si="39"/>
        <v>2</v>
      </c>
      <c r="R83" s="587"/>
      <c r="S83" s="482"/>
      <c r="T83" s="482"/>
      <c r="U83" s="482"/>
      <c r="V83" s="482"/>
      <c r="W83" s="482"/>
      <c r="X83" s="482"/>
      <c r="Y83" s="482"/>
      <c r="Z83" s="482"/>
      <c r="AA83" s="482"/>
      <c r="AB83" s="482"/>
      <c r="AC83" s="482"/>
      <c r="AD83" s="482"/>
      <c r="AE83" s="482"/>
      <c r="AF83" s="482"/>
      <c r="AG83" s="482"/>
      <c r="AH83" s="482"/>
      <c r="AI83" s="482"/>
      <c r="AJ83" s="482"/>
      <c r="AK83" s="482"/>
      <c r="AL83" s="482"/>
      <c r="AM83" s="482"/>
      <c r="AN83" s="482"/>
      <c r="AO83" s="482"/>
      <c r="AP83" s="482"/>
      <c r="AQ83" s="482"/>
      <c r="AR83" s="482"/>
      <c r="AS83" s="482"/>
      <c r="AT83" s="482"/>
      <c r="AU83" s="482"/>
      <c r="AV83" s="482"/>
      <c r="AW83" s="483"/>
      <c r="AX83" s="484">
        <f t="shared" si="41"/>
        <v>0</v>
      </c>
      <c r="AY83" s="501" t="str">
        <f t="shared" si="37"/>
        <v/>
      </c>
      <c r="AZ83" s="488">
        <f t="shared" si="38"/>
        <v>0</v>
      </c>
    </row>
    <row r="84" spans="1:52" s="57" customFormat="1" ht="24.9" customHeight="1" x14ac:dyDescent="0.25">
      <c r="A84" s="425" t="s">
        <v>363</v>
      </c>
      <c r="B84" s="97" t="s">
        <v>111</v>
      </c>
      <c r="C84" s="97" t="s">
        <v>455</v>
      </c>
      <c r="D84" s="145" t="s">
        <v>456</v>
      </c>
      <c r="E84" s="230" t="s">
        <v>863</v>
      </c>
      <c r="F84" s="414" t="s">
        <v>682</v>
      </c>
      <c r="G84" s="127">
        <v>97.85</v>
      </c>
      <c r="H84" s="303" t="str">
        <f>VLOOKUP($F84,'Leistungswerte UHR Schulen'!$C$6:$F$38,3,FALSE)</f>
        <v>W3</v>
      </c>
      <c r="I84" s="328">
        <f>VLOOKUP(H84,Turnus!$D$9:$E$26,2,FALSE)</f>
        <v>114.53571428571426</v>
      </c>
      <c r="J84" s="127">
        <f t="shared" si="21"/>
        <v>11207.319642857139</v>
      </c>
      <c r="K84" s="128">
        <f>VLOOKUP($F84,'Leistungswerte UHR Schulen'!$C$6:$F$38,4,FALSE)</f>
        <v>0</v>
      </c>
      <c r="L84" s="496" t="str">
        <f t="shared" si="40"/>
        <v/>
      </c>
      <c r="M84" s="129">
        <f t="shared" si="22"/>
        <v>0</v>
      </c>
      <c r="N84" s="547">
        <f t="shared" si="29"/>
        <v>0</v>
      </c>
      <c r="O84" s="130">
        <f t="shared" si="23"/>
        <v>0</v>
      </c>
      <c r="P84" s="131">
        <f t="shared" si="36"/>
        <v>0</v>
      </c>
      <c r="Q84" s="578">
        <f t="shared" si="39"/>
        <v>1</v>
      </c>
      <c r="R84" s="587"/>
      <c r="S84" s="482"/>
      <c r="T84" s="482"/>
      <c r="U84" s="482"/>
      <c r="V84" s="482"/>
      <c r="W84" s="482"/>
      <c r="X84" s="482"/>
      <c r="Y84" s="482"/>
      <c r="Z84" s="482"/>
      <c r="AA84" s="482"/>
      <c r="AB84" s="482"/>
      <c r="AC84" s="482"/>
      <c r="AD84" s="482"/>
      <c r="AE84" s="482"/>
      <c r="AF84" s="482"/>
      <c r="AG84" s="482"/>
      <c r="AH84" s="482"/>
      <c r="AI84" s="482"/>
      <c r="AJ84" s="482"/>
      <c r="AK84" s="482"/>
      <c r="AL84" s="482"/>
      <c r="AM84" s="482"/>
      <c r="AN84" s="482"/>
      <c r="AO84" s="482"/>
      <c r="AP84" s="482"/>
      <c r="AQ84" s="482"/>
      <c r="AR84" s="482"/>
      <c r="AS84" s="482"/>
      <c r="AT84" s="482"/>
      <c r="AU84" s="482"/>
      <c r="AV84" s="482"/>
      <c r="AW84" s="483"/>
      <c r="AX84" s="484">
        <f t="shared" si="41"/>
        <v>0</v>
      </c>
      <c r="AY84" s="501" t="str">
        <f t="shared" si="37"/>
        <v/>
      </c>
      <c r="AZ84" s="488">
        <f t="shared" si="38"/>
        <v>0</v>
      </c>
    </row>
    <row r="85" spans="1:52" s="57" customFormat="1" ht="24.9" customHeight="1" x14ac:dyDescent="0.25">
      <c r="A85" s="425" t="s">
        <v>363</v>
      </c>
      <c r="B85" s="97" t="s">
        <v>111</v>
      </c>
      <c r="C85" s="97" t="s">
        <v>457</v>
      </c>
      <c r="D85" s="145" t="s">
        <v>104</v>
      </c>
      <c r="E85" s="230" t="s">
        <v>619</v>
      </c>
      <c r="F85" s="414" t="s">
        <v>678</v>
      </c>
      <c r="G85" s="127">
        <v>199.03</v>
      </c>
      <c r="H85" s="303" t="str">
        <f>VLOOKUP($F85,'Leistungswerte UHR Schulen'!$C$6:$F$38,3,FALSE)</f>
        <v>W5</v>
      </c>
      <c r="I85" s="328">
        <f>VLOOKUP(H85,Turnus!$D$9:$E$26,2,FALSE)</f>
        <v>188.46428571428572</v>
      </c>
      <c r="J85" s="127">
        <f t="shared" si="21"/>
        <v>37510.046785714287</v>
      </c>
      <c r="K85" s="128">
        <f>VLOOKUP($F85,'Leistungswerte UHR Schulen'!$C$6:$F$38,4,FALSE)</f>
        <v>0</v>
      </c>
      <c r="L85" s="496" t="str">
        <f t="shared" si="40"/>
        <v/>
      </c>
      <c r="M85" s="129">
        <f t="shared" si="22"/>
        <v>0</v>
      </c>
      <c r="N85" s="547">
        <f t="shared" si="29"/>
        <v>0</v>
      </c>
      <c r="O85" s="130">
        <f t="shared" si="23"/>
        <v>0</v>
      </c>
      <c r="P85" s="131">
        <f t="shared" si="36"/>
        <v>0</v>
      </c>
      <c r="Q85" s="578">
        <f t="shared" si="39"/>
        <v>1</v>
      </c>
      <c r="R85" s="587"/>
      <c r="S85" s="482"/>
      <c r="T85" s="482"/>
      <c r="U85" s="482"/>
      <c r="V85" s="482"/>
      <c r="W85" s="482"/>
      <c r="X85" s="482"/>
      <c r="Y85" s="482"/>
      <c r="Z85" s="482"/>
      <c r="AA85" s="482"/>
      <c r="AB85" s="482"/>
      <c r="AC85" s="482"/>
      <c r="AD85" s="482"/>
      <c r="AE85" s="482"/>
      <c r="AF85" s="482"/>
      <c r="AG85" s="482"/>
      <c r="AH85" s="482"/>
      <c r="AI85" s="482"/>
      <c r="AJ85" s="482"/>
      <c r="AK85" s="482"/>
      <c r="AL85" s="482"/>
      <c r="AM85" s="482"/>
      <c r="AN85" s="482"/>
      <c r="AO85" s="482"/>
      <c r="AP85" s="482"/>
      <c r="AQ85" s="482"/>
      <c r="AR85" s="482"/>
      <c r="AS85" s="482"/>
      <c r="AT85" s="482"/>
      <c r="AU85" s="482"/>
      <c r="AV85" s="482"/>
      <c r="AW85" s="483"/>
      <c r="AX85" s="484">
        <f t="shared" si="41"/>
        <v>0</v>
      </c>
      <c r="AY85" s="501" t="str">
        <f t="shared" si="37"/>
        <v/>
      </c>
      <c r="AZ85" s="488">
        <f t="shared" si="38"/>
        <v>0</v>
      </c>
    </row>
    <row r="86" spans="1:52" s="57" customFormat="1" ht="24.9" customHeight="1" x14ac:dyDescent="0.25">
      <c r="A86" s="425" t="s">
        <v>363</v>
      </c>
      <c r="B86" s="97" t="s">
        <v>111</v>
      </c>
      <c r="C86" s="97" t="s">
        <v>458</v>
      </c>
      <c r="D86" s="145" t="s">
        <v>102</v>
      </c>
      <c r="E86" s="230" t="s">
        <v>619</v>
      </c>
      <c r="F86" s="414" t="s">
        <v>676</v>
      </c>
      <c r="G86" s="127">
        <v>43.95</v>
      </c>
      <c r="H86" s="303" t="str">
        <f>VLOOKUP($F86,'Leistungswerte UHR Schulen'!$C$6:$F$38,3,FALSE)</f>
        <v>W5</v>
      </c>
      <c r="I86" s="328">
        <f>VLOOKUP(H86,Turnus!$D$9:$E$26,2,FALSE)</f>
        <v>188.46428571428572</v>
      </c>
      <c r="J86" s="127">
        <f t="shared" si="21"/>
        <v>8283.005357142858</v>
      </c>
      <c r="K86" s="128">
        <f>VLOOKUP($F86,'Leistungswerte UHR Schulen'!$C$6:$F$38,4,FALSE)</f>
        <v>0</v>
      </c>
      <c r="L86" s="496" t="str">
        <f t="shared" si="40"/>
        <v/>
      </c>
      <c r="M86" s="129">
        <f t="shared" si="22"/>
        <v>0</v>
      </c>
      <c r="N86" s="547">
        <f t="shared" si="29"/>
        <v>0</v>
      </c>
      <c r="O86" s="130">
        <f t="shared" si="23"/>
        <v>0</v>
      </c>
      <c r="P86" s="131">
        <f t="shared" si="36"/>
        <v>0</v>
      </c>
      <c r="Q86" s="578">
        <f t="shared" si="39"/>
        <v>1</v>
      </c>
      <c r="R86" s="587"/>
      <c r="S86" s="482"/>
      <c r="T86" s="482"/>
      <c r="U86" s="482"/>
      <c r="V86" s="482"/>
      <c r="W86" s="482"/>
      <c r="X86" s="482"/>
      <c r="Y86" s="482"/>
      <c r="Z86" s="482"/>
      <c r="AA86" s="482"/>
      <c r="AB86" s="482"/>
      <c r="AC86" s="482"/>
      <c r="AD86" s="482"/>
      <c r="AE86" s="482"/>
      <c r="AF86" s="482"/>
      <c r="AG86" s="482"/>
      <c r="AH86" s="482"/>
      <c r="AI86" s="482"/>
      <c r="AJ86" s="482"/>
      <c r="AK86" s="482"/>
      <c r="AL86" s="482"/>
      <c r="AM86" s="482"/>
      <c r="AN86" s="482"/>
      <c r="AO86" s="482"/>
      <c r="AP86" s="482"/>
      <c r="AQ86" s="482"/>
      <c r="AR86" s="482"/>
      <c r="AS86" s="482"/>
      <c r="AT86" s="482"/>
      <c r="AU86" s="482"/>
      <c r="AV86" s="482"/>
      <c r="AW86" s="483"/>
      <c r="AX86" s="484">
        <f t="shared" si="41"/>
        <v>0</v>
      </c>
      <c r="AY86" s="501" t="str">
        <f t="shared" si="37"/>
        <v/>
      </c>
      <c r="AZ86" s="488">
        <f t="shared" si="38"/>
        <v>0</v>
      </c>
    </row>
    <row r="87" spans="1:52" s="57" customFormat="1" ht="24.9" customHeight="1" x14ac:dyDescent="0.25">
      <c r="A87" s="425" t="s">
        <v>363</v>
      </c>
      <c r="B87" s="97" t="s">
        <v>111</v>
      </c>
      <c r="C87" s="97" t="s">
        <v>459</v>
      </c>
      <c r="D87" s="145" t="s">
        <v>102</v>
      </c>
      <c r="E87" s="230" t="s">
        <v>619</v>
      </c>
      <c r="F87" s="414" t="s">
        <v>676</v>
      </c>
      <c r="G87" s="127">
        <v>45.16</v>
      </c>
      <c r="H87" s="303" t="str">
        <f>VLOOKUP($F87,'Leistungswerte UHR Schulen'!$C$6:$F$38,3,FALSE)</f>
        <v>W5</v>
      </c>
      <c r="I87" s="328">
        <f>VLOOKUP(H87,Turnus!$D$9:$E$26,2,FALSE)</f>
        <v>188.46428571428572</v>
      </c>
      <c r="J87" s="127">
        <f t="shared" si="21"/>
        <v>8511.0471428571418</v>
      </c>
      <c r="K87" s="128">
        <f>VLOOKUP($F87,'Leistungswerte UHR Schulen'!$C$6:$F$38,4,FALSE)</f>
        <v>0</v>
      </c>
      <c r="L87" s="496" t="str">
        <f t="shared" si="40"/>
        <v/>
      </c>
      <c r="M87" s="129">
        <f t="shared" si="22"/>
        <v>0</v>
      </c>
      <c r="N87" s="547">
        <f t="shared" si="29"/>
        <v>0</v>
      </c>
      <c r="O87" s="130">
        <f t="shared" si="23"/>
        <v>0</v>
      </c>
      <c r="P87" s="131">
        <f t="shared" si="36"/>
        <v>0</v>
      </c>
      <c r="Q87" s="578">
        <f t="shared" si="39"/>
        <v>1</v>
      </c>
      <c r="R87" s="587"/>
      <c r="S87" s="482"/>
      <c r="T87" s="482"/>
      <c r="U87" s="482"/>
      <c r="V87" s="482"/>
      <c r="W87" s="482"/>
      <c r="X87" s="482"/>
      <c r="Y87" s="482"/>
      <c r="Z87" s="482"/>
      <c r="AA87" s="482"/>
      <c r="AB87" s="482"/>
      <c r="AC87" s="482"/>
      <c r="AD87" s="482"/>
      <c r="AE87" s="482"/>
      <c r="AF87" s="482"/>
      <c r="AG87" s="482"/>
      <c r="AH87" s="482"/>
      <c r="AI87" s="482"/>
      <c r="AJ87" s="482"/>
      <c r="AK87" s="482"/>
      <c r="AL87" s="482"/>
      <c r="AM87" s="482"/>
      <c r="AN87" s="482"/>
      <c r="AO87" s="482"/>
      <c r="AP87" s="482"/>
      <c r="AQ87" s="482"/>
      <c r="AR87" s="482"/>
      <c r="AS87" s="482"/>
      <c r="AT87" s="482"/>
      <c r="AU87" s="482"/>
      <c r="AV87" s="482"/>
      <c r="AW87" s="483"/>
      <c r="AX87" s="484">
        <f t="shared" si="41"/>
        <v>0</v>
      </c>
      <c r="AY87" s="501" t="str">
        <f t="shared" si="37"/>
        <v/>
      </c>
      <c r="AZ87" s="488">
        <f t="shared" si="38"/>
        <v>0</v>
      </c>
    </row>
    <row r="88" spans="1:52" s="57" customFormat="1" ht="24.9" customHeight="1" x14ac:dyDescent="0.25">
      <c r="A88" s="425" t="s">
        <v>363</v>
      </c>
      <c r="B88" s="97" t="s">
        <v>111</v>
      </c>
      <c r="C88" s="97" t="s">
        <v>460</v>
      </c>
      <c r="D88" s="145" t="s">
        <v>266</v>
      </c>
      <c r="E88" s="230" t="s">
        <v>619</v>
      </c>
      <c r="F88" s="414" t="s">
        <v>674</v>
      </c>
      <c r="G88" s="127">
        <v>29.63</v>
      </c>
      <c r="H88" s="303" t="str">
        <f>VLOOKUP($F88,'Leistungswerte UHR Schulen'!$C$6:$F$38,3,FALSE)</f>
        <v>W5</v>
      </c>
      <c r="I88" s="328">
        <f>VLOOKUP(H88,Turnus!$D$9:$E$26,2,FALSE)</f>
        <v>188.46428571428572</v>
      </c>
      <c r="J88" s="127">
        <f t="shared" si="21"/>
        <v>5584.1967857142854</v>
      </c>
      <c r="K88" s="128">
        <f>VLOOKUP($F88,'Leistungswerte UHR Schulen'!$C$6:$F$38,4,FALSE)</f>
        <v>0</v>
      </c>
      <c r="L88" s="496" t="str">
        <f t="shared" si="40"/>
        <v/>
      </c>
      <c r="M88" s="129">
        <f t="shared" si="22"/>
        <v>0</v>
      </c>
      <c r="N88" s="547">
        <f t="shared" si="29"/>
        <v>0</v>
      </c>
      <c r="O88" s="130">
        <f t="shared" si="23"/>
        <v>0</v>
      </c>
      <c r="P88" s="131">
        <f t="shared" si="36"/>
        <v>0</v>
      </c>
      <c r="Q88" s="578">
        <f t="shared" si="39"/>
        <v>1</v>
      </c>
      <c r="R88" s="587"/>
      <c r="S88" s="482"/>
      <c r="T88" s="482"/>
      <c r="U88" s="482"/>
      <c r="V88" s="482"/>
      <c r="W88" s="482"/>
      <c r="X88" s="482"/>
      <c r="Y88" s="482"/>
      <c r="Z88" s="482"/>
      <c r="AA88" s="482"/>
      <c r="AB88" s="482"/>
      <c r="AC88" s="482"/>
      <c r="AD88" s="482"/>
      <c r="AE88" s="482"/>
      <c r="AF88" s="482"/>
      <c r="AG88" s="482"/>
      <c r="AH88" s="482"/>
      <c r="AI88" s="482"/>
      <c r="AJ88" s="482"/>
      <c r="AK88" s="482"/>
      <c r="AL88" s="482"/>
      <c r="AM88" s="482"/>
      <c r="AN88" s="482"/>
      <c r="AO88" s="482"/>
      <c r="AP88" s="482"/>
      <c r="AQ88" s="482"/>
      <c r="AR88" s="482"/>
      <c r="AS88" s="482"/>
      <c r="AT88" s="482"/>
      <c r="AU88" s="482"/>
      <c r="AV88" s="482"/>
      <c r="AW88" s="483"/>
      <c r="AX88" s="484">
        <f t="shared" si="41"/>
        <v>0</v>
      </c>
      <c r="AY88" s="501" t="str">
        <f t="shared" si="37"/>
        <v/>
      </c>
      <c r="AZ88" s="488">
        <f t="shared" si="38"/>
        <v>0</v>
      </c>
    </row>
    <row r="89" spans="1:52" s="57" customFormat="1" ht="24.9" customHeight="1" x14ac:dyDescent="0.25">
      <c r="A89" s="425" t="s">
        <v>363</v>
      </c>
      <c r="B89" s="97" t="s">
        <v>111</v>
      </c>
      <c r="C89" s="97" t="s">
        <v>461</v>
      </c>
      <c r="D89" s="145" t="s">
        <v>251</v>
      </c>
      <c r="E89" s="230" t="s">
        <v>619</v>
      </c>
      <c r="F89" s="414" t="s">
        <v>903</v>
      </c>
      <c r="G89" s="127">
        <v>7.92</v>
      </c>
      <c r="H89" s="303" t="str">
        <f>VLOOKUP($F89,'Leistungswerte UHR Schulen'!$C$6:$F$38,3,FALSE)</f>
        <v>W3</v>
      </c>
      <c r="I89" s="328">
        <f>VLOOKUP(H89,Turnus!$D$9:$E$26,2,FALSE)</f>
        <v>114.53571428571426</v>
      </c>
      <c r="J89" s="127">
        <f t="shared" si="21"/>
        <v>907.1228571428569</v>
      </c>
      <c r="K89" s="128">
        <f>VLOOKUP($F89,'Leistungswerte UHR Schulen'!$C$6:$F$38,4,FALSE)</f>
        <v>0</v>
      </c>
      <c r="L89" s="496" t="str">
        <f t="shared" si="40"/>
        <v/>
      </c>
      <c r="M89" s="129">
        <f t="shared" si="22"/>
        <v>0</v>
      </c>
      <c r="N89" s="547">
        <f t="shared" si="29"/>
        <v>0</v>
      </c>
      <c r="O89" s="130">
        <f t="shared" si="23"/>
        <v>0</v>
      </c>
      <c r="P89" s="131">
        <f t="shared" si="36"/>
        <v>0</v>
      </c>
      <c r="Q89" s="578">
        <f t="shared" si="39"/>
        <v>1</v>
      </c>
      <c r="R89" s="587"/>
      <c r="S89" s="482"/>
      <c r="T89" s="482"/>
      <c r="U89" s="482"/>
      <c r="V89" s="482"/>
      <c r="W89" s="482"/>
      <c r="X89" s="482"/>
      <c r="Y89" s="482"/>
      <c r="Z89" s="482"/>
      <c r="AA89" s="482"/>
      <c r="AB89" s="482"/>
      <c r="AC89" s="482"/>
      <c r="AD89" s="482"/>
      <c r="AE89" s="482"/>
      <c r="AF89" s="482"/>
      <c r="AG89" s="482"/>
      <c r="AH89" s="482"/>
      <c r="AI89" s="482"/>
      <c r="AJ89" s="482"/>
      <c r="AK89" s="482"/>
      <c r="AL89" s="482"/>
      <c r="AM89" s="482"/>
      <c r="AN89" s="482"/>
      <c r="AO89" s="482"/>
      <c r="AP89" s="482"/>
      <c r="AQ89" s="482"/>
      <c r="AR89" s="482"/>
      <c r="AS89" s="482"/>
      <c r="AT89" s="482"/>
      <c r="AU89" s="482"/>
      <c r="AV89" s="482"/>
      <c r="AW89" s="483"/>
      <c r="AX89" s="484">
        <f t="shared" si="41"/>
        <v>0</v>
      </c>
      <c r="AY89" s="501" t="str">
        <f t="shared" si="37"/>
        <v/>
      </c>
      <c r="AZ89" s="488">
        <f t="shared" si="38"/>
        <v>0</v>
      </c>
    </row>
    <row r="90" spans="1:52" s="57" customFormat="1" ht="24.9" customHeight="1" x14ac:dyDescent="0.25">
      <c r="A90" s="425" t="s">
        <v>363</v>
      </c>
      <c r="B90" s="97" t="s">
        <v>111</v>
      </c>
      <c r="C90" s="97" t="s">
        <v>735</v>
      </c>
      <c r="D90" s="145" t="s">
        <v>736</v>
      </c>
      <c r="E90" s="230" t="s">
        <v>253</v>
      </c>
      <c r="F90" s="414" t="s">
        <v>761</v>
      </c>
      <c r="G90" s="127">
        <v>8.08</v>
      </c>
      <c r="H90" s="303" t="str">
        <f>VLOOKUP($F90,'Leistungswerte UHR Schulen'!$C$6:$F$38,3,FALSE)</f>
        <v>J1</v>
      </c>
      <c r="I90" s="328">
        <f>VLOOKUP(H90,Turnus!$D$9:$E$26,2,FALSE)</f>
        <v>1</v>
      </c>
      <c r="J90" s="127">
        <f t="shared" si="21"/>
        <v>8.08</v>
      </c>
      <c r="K90" s="128">
        <f>VLOOKUP($F90,'Leistungswerte UHR Schulen'!$C$6:$F$38,4,FALSE)</f>
        <v>0</v>
      </c>
      <c r="L90" s="496" t="str">
        <f t="shared" si="40"/>
        <v/>
      </c>
      <c r="M90" s="129">
        <f t="shared" si="22"/>
        <v>0</v>
      </c>
      <c r="N90" s="547">
        <f t="shared" si="29"/>
        <v>0</v>
      </c>
      <c r="O90" s="130">
        <f t="shared" si="23"/>
        <v>0</v>
      </c>
      <c r="P90" s="131">
        <f t="shared" si="36"/>
        <v>0</v>
      </c>
      <c r="Q90" s="578">
        <f t="shared" si="39"/>
        <v>1</v>
      </c>
      <c r="R90" s="587"/>
      <c r="S90" s="482"/>
      <c r="T90" s="482"/>
      <c r="U90" s="482"/>
      <c r="V90" s="482"/>
      <c r="W90" s="482"/>
      <c r="X90" s="482"/>
      <c r="Y90" s="482"/>
      <c r="Z90" s="482"/>
      <c r="AA90" s="482"/>
      <c r="AB90" s="482"/>
      <c r="AC90" s="482"/>
      <c r="AD90" s="482"/>
      <c r="AE90" s="482"/>
      <c r="AF90" s="482"/>
      <c r="AG90" s="482"/>
      <c r="AH90" s="482"/>
      <c r="AI90" s="482"/>
      <c r="AJ90" s="482"/>
      <c r="AK90" s="482"/>
      <c r="AL90" s="482"/>
      <c r="AM90" s="482"/>
      <c r="AN90" s="482"/>
      <c r="AO90" s="482"/>
      <c r="AP90" s="482"/>
      <c r="AQ90" s="482"/>
      <c r="AR90" s="482"/>
      <c r="AS90" s="482"/>
      <c r="AT90" s="482"/>
      <c r="AU90" s="482"/>
      <c r="AV90" s="482"/>
      <c r="AW90" s="483"/>
      <c r="AX90" s="484">
        <f t="shared" si="41"/>
        <v>0</v>
      </c>
      <c r="AY90" s="501" t="str">
        <f t="shared" si="37"/>
        <v/>
      </c>
      <c r="AZ90" s="488">
        <f t="shared" si="38"/>
        <v>0</v>
      </c>
    </row>
    <row r="91" spans="1:52" s="57" customFormat="1" ht="24.9" customHeight="1" x14ac:dyDescent="0.25">
      <c r="A91" s="425" t="s">
        <v>363</v>
      </c>
      <c r="B91" s="97" t="s">
        <v>111</v>
      </c>
      <c r="C91" s="97" t="s">
        <v>737</v>
      </c>
      <c r="D91" s="145" t="s">
        <v>165</v>
      </c>
      <c r="E91" s="230" t="s">
        <v>253</v>
      </c>
      <c r="F91" s="414" t="s">
        <v>761</v>
      </c>
      <c r="G91" s="127">
        <v>8.1199999999999992</v>
      </c>
      <c r="H91" s="303" t="str">
        <f>VLOOKUP($F91,'Leistungswerte UHR Schulen'!$C$6:$F$38,3,FALSE)</f>
        <v>J1</v>
      </c>
      <c r="I91" s="328">
        <f>VLOOKUP(H91,Turnus!$D$9:$E$26,2,FALSE)</f>
        <v>1</v>
      </c>
      <c r="J91" s="127">
        <f t="shared" si="21"/>
        <v>8.1199999999999992</v>
      </c>
      <c r="K91" s="128">
        <f>VLOOKUP($F91,'Leistungswerte UHR Schulen'!$C$6:$F$38,4,FALSE)</f>
        <v>0</v>
      </c>
      <c r="L91" s="496" t="str">
        <f t="shared" si="40"/>
        <v/>
      </c>
      <c r="M91" s="129">
        <f t="shared" si="22"/>
        <v>0</v>
      </c>
      <c r="N91" s="547">
        <f t="shared" si="29"/>
        <v>0</v>
      </c>
      <c r="O91" s="130">
        <f t="shared" si="23"/>
        <v>0</v>
      </c>
      <c r="P91" s="131">
        <f t="shared" si="36"/>
        <v>0</v>
      </c>
      <c r="Q91" s="578">
        <f t="shared" si="39"/>
        <v>1</v>
      </c>
      <c r="R91" s="587"/>
      <c r="S91" s="482"/>
      <c r="T91" s="482"/>
      <c r="U91" s="482"/>
      <c r="V91" s="482"/>
      <c r="W91" s="482"/>
      <c r="X91" s="482"/>
      <c r="Y91" s="482"/>
      <c r="Z91" s="482"/>
      <c r="AA91" s="482"/>
      <c r="AB91" s="482"/>
      <c r="AC91" s="482"/>
      <c r="AD91" s="482"/>
      <c r="AE91" s="482"/>
      <c r="AF91" s="482"/>
      <c r="AG91" s="482"/>
      <c r="AH91" s="482"/>
      <c r="AI91" s="482"/>
      <c r="AJ91" s="482"/>
      <c r="AK91" s="482"/>
      <c r="AL91" s="482"/>
      <c r="AM91" s="482"/>
      <c r="AN91" s="482"/>
      <c r="AO91" s="482"/>
      <c r="AP91" s="482"/>
      <c r="AQ91" s="482"/>
      <c r="AR91" s="482"/>
      <c r="AS91" s="482"/>
      <c r="AT91" s="482"/>
      <c r="AU91" s="482"/>
      <c r="AV91" s="482"/>
      <c r="AW91" s="483"/>
      <c r="AX91" s="484">
        <f t="shared" si="41"/>
        <v>0</v>
      </c>
      <c r="AY91" s="501" t="str">
        <f t="shared" si="37"/>
        <v/>
      </c>
      <c r="AZ91" s="488">
        <f t="shared" si="38"/>
        <v>0</v>
      </c>
    </row>
    <row r="92" spans="1:52" s="57" customFormat="1" ht="24.9" customHeight="1" x14ac:dyDescent="0.25">
      <c r="A92" s="425" t="s">
        <v>363</v>
      </c>
      <c r="B92" s="97" t="s">
        <v>111</v>
      </c>
      <c r="C92" s="97" t="s">
        <v>738</v>
      </c>
      <c r="D92" s="145" t="s">
        <v>739</v>
      </c>
      <c r="E92" s="230" t="s">
        <v>253</v>
      </c>
      <c r="F92" s="414" t="s">
        <v>708</v>
      </c>
      <c r="G92" s="127">
        <v>8.1199999999999992</v>
      </c>
      <c r="H92" s="303" t="str">
        <f>VLOOKUP($F92,'Leistungswerte UHR Schulen'!$C$6:$F$38,3,FALSE)</f>
        <v>kR</v>
      </c>
      <c r="I92" s="328">
        <f>VLOOKUP(H92,Turnus!$D$9:$E$26,2,FALSE)</f>
        <v>0</v>
      </c>
      <c r="J92" s="127">
        <f t="shared" ref="J92" si="42">+G92*I92</f>
        <v>0</v>
      </c>
      <c r="K92" s="128">
        <f>VLOOKUP($F92,'Leistungswerte UHR Schulen'!$C$6:$F$38,4,FALSE)</f>
        <v>0</v>
      </c>
      <c r="L92" s="496" t="str">
        <f t="shared" si="40"/>
        <v/>
      </c>
      <c r="M92" s="129">
        <f t="shared" ref="M92" si="43">IF(ISERROR(J92/K92),0,J92/K92)</f>
        <v>0</v>
      </c>
      <c r="N92" s="547">
        <f t="shared" si="29"/>
        <v>0</v>
      </c>
      <c r="O92" s="130">
        <f t="shared" ref="O92" si="44">IF(ISERROR(G92/K92*N92),0,G92/K92*N92)</f>
        <v>0</v>
      </c>
      <c r="P92" s="131">
        <f t="shared" si="36"/>
        <v>0</v>
      </c>
      <c r="Q92" s="578">
        <f t="shared" si="39"/>
        <v>1</v>
      </c>
      <c r="R92" s="587"/>
      <c r="S92" s="482"/>
      <c r="T92" s="482"/>
      <c r="U92" s="482"/>
      <c r="V92" s="482"/>
      <c r="W92" s="482"/>
      <c r="X92" s="482"/>
      <c r="Y92" s="482"/>
      <c r="Z92" s="482"/>
      <c r="AA92" s="482"/>
      <c r="AB92" s="482"/>
      <c r="AC92" s="482"/>
      <c r="AD92" s="482"/>
      <c r="AE92" s="482"/>
      <c r="AF92" s="482"/>
      <c r="AG92" s="482"/>
      <c r="AH92" s="482"/>
      <c r="AI92" s="482"/>
      <c r="AJ92" s="482"/>
      <c r="AK92" s="482"/>
      <c r="AL92" s="482"/>
      <c r="AM92" s="482"/>
      <c r="AN92" s="482"/>
      <c r="AO92" s="482"/>
      <c r="AP92" s="482"/>
      <c r="AQ92" s="482"/>
      <c r="AR92" s="482"/>
      <c r="AS92" s="482"/>
      <c r="AT92" s="482"/>
      <c r="AU92" s="482"/>
      <c r="AV92" s="482"/>
      <c r="AW92" s="483"/>
      <c r="AX92" s="484">
        <f t="shared" si="41"/>
        <v>0</v>
      </c>
      <c r="AY92" s="501" t="str">
        <f t="shared" si="37"/>
        <v/>
      </c>
      <c r="AZ92" s="488">
        <f t="shared" si="38"/>
        <v>0</v>
      </c>
    </row>
    <row r="93" spans="1:52" s="57" customFormat="1" ht="24.9" customHeight="1" x14ac:dyDescent="0.25">
      <c r="A93" s="425" t="s">
        <v>363</v>
      </c>
      <c r="B93" s="97" t="s">
        <v>111</v>
      </c>
      <c r="C93" s="97" t="s">
        <v>866</v>
      </c>
      <c r="D93" s="145" t="s">
        <v>166</v>
      </c>
      <c r="E93" s="230" t="s">
        <v>253</v>
      </c>
      <c r="F93" s="414" t="s">
        <v>708</v>
      </c>
      <c r="G93" s="127">
        <v>9.08</v>
      </c>
      <c r="H93" s="303" t="str">
        <f>VLOOKUP($F93,'Leistungswerte UHR Schulen'!$C$6:$F$38,3,FALSE)</f>
        <v>kR</v>
      </c>
      <c r="I93" s="328">
        <f>VLOOKUP(H93,Turnus!$D$9:$E$26,2,FALSE)</f>
        <v>0</v>
      </c>
      <c r="J93" s="127">
        <f t="shared" ref="J93" si="45">+G93*I93</f>
        <v>0</v>
      </c>
      <c r="K93" s="128">
        <f>VLOOKUP($F93,'Leistungswerte UHR Schulen'!$C$6:$F$38,4,FALSE)</f>
        <v>0</v>
      </c>
      <c r="L93" s="496" t="str">
        <f t="shared" si="40"/>
        <v/>
      </c>
      <c r="M93" s="129">
        <f t="shared" ref="M93" si="46">IF(ISERROR(J93/K93),0,J93/K93)</f>
        <v>0</v>
      </c>
      <c r="N93" s="547">
        <f t="shared" si="29"/>
        <v>0</v>
      </c>
      <c r="O93" s="130">
        <f t="shared" ref="O93" si="47">IF(ISERROR(G93/K93*N93),0,G93/K93*N93)</f>
        <v>0</v>
      </c>
      <c r="P93" s="131">
        <f t="shared" si="36"/>
        <v>0</v>
      </c>
      <c r="Q93" s="578">
        <f t="shared" si="39"/>
        <v>1</v>
      </c>
      <c r="R93" s="587"/>
      <c r="S93" s="482"/>
      <c r="T93" s="482"/>
      <c r="U93" s="482"/>
      <c r="V93" s="482"/>
      <c r="W93" s="482"/>
      <c r="X93" s="482"/>
      <c r="Y93" s="482"/>
      <c r="Z93" s="482"/>
      <c r="AA93" s="482"/>
      <c r="AB93" s="482"/>
      <c r="AC93" s="482"/>
      <c r="AD93" s="482"/>
      <c r="AE93" s="482"/>
      <c r="AF93" s="482"/>
      <c r="AG93" s="482"/>
      <c r="AH93" s="482"/>
      <c r="AI93" s="482"/>
      <c r="AJ93" s="482"/>
      <c r="AK93" s="482"/>
      <c r="AL93" s="482"/>
      <c r="AM93" s="482"/>
      <c r="AN93" s="482"/>
      <c r="AO93" s="482"/>
      <c r="AP93" s="482"/>
      <c r="AQ93" s="482"/>
      <c r="AR93" s="482"/>
      <c r="AS93" s="482"/>
      <c r="AT93" s="482"/>
      <c r="AU93" s="482"/>
      <c r="AV93" s="482"/>
      <c r="AW93" s="483"/>
      <c r="AX93" s="484">
        <f t="shared" si="41"/>
        <v>0</v>
      </c>
      <c r="AY93" s="501" t="str">
        <f t="shared" si="37"/>
        <v/>
      </c>
      <c r="AZ93" s="488">
        <f t="shared" si="38"/>
        <v>0</v>
      </c>
    </row>
    <row r="94" spans="1:52" s="57" customFormat="1" ht="24.9" customHeight="1" x14ac:dyDescent="0.25">
      <c r="A94" s="425" t="s">
        <v>363</v>
      </c>
      <c r="B94" s="97" t="s">
        <v>111</v>
      </c>
      <c r="C94" s="97" t="s">
        <v>462</v>
      </c>
      <c r="D94" s="145" t="s">
        <v>463</v>
      </c>
      <c r="E94" s="230" t="s">
        <v>172</v>
      </c>
      <c r="F94" s="414" t="s">
        <v>887</v>
      </c>
      <c r="G94" s="127">
        <v>288</v>
      </c>
      <c r="H94" s="566" t="str">
        <f>VLOOKUP($F94,'Leistungswerte UHR Schulen'!$C$6:$F$38,3,FALSE)</f>
        <v>W6</v>
      </c>
      <c r="I94" s="567">
        <f>VLOOKUP(H94,Turnus!$D$9:$E$26,2,FALSE)</f>
        <v>226.35714285714283</v>
      </c>
      <c r="J94" s="127">
        <f t="shared" si="21"/>
        <v>65190.857142857138</v>
      </c>
      <c r="K94" s="128">
        <f>VLOOKUP($F94,'Leistungswerte UHR Schulen'!$C$6:$F$38,4,FALSE)</f>
        <v>0</v>
      </c>
      <c r="L94" s="496" t="str">
        <f t="shared" si="40"/>
        <v/>
      </c>
      <c r="M94" s="129">
        <f t="shared" si="22"/>
        <v>0</v>
      </c>
      <c r="N94" s="547">
        <f t="shared" si="29"/>
        <v>0</v>
      </c>
      <c r="O94" s="130">
        <f t="shared" si="23"/>
        <v>0</v>
      </c>
      <c r="P94" s="131">
        <f t="shared" si="36"/>
        <v>0</v>
      </c>
      <c r="Q94" s="578">
        <f t="shared" si="39"/>
        <v>1</v>
      </c>
      <c r="R94" s="587"/>
      <c r="S94" s="482"/>
      <c r="T94" s="482"/>
      <c r="U94" s="482"/>
      <c r="V94" s="482"/>
      <c r="W94" s="482"/>
      <c r="X94" s="482"/>
      <c r="Y94" s="482"/>
      <c r="Z94" s="482"/>
      <c r="AA94" s="482"/>
      <c r="AB94" s="482"/>
      <c r="AC94" s="482"/>
      <c r="AD94" s="482"/>
      <c r="AE94" s="482"/>
      <c r="AF94" s="482"/>
      <c r="AG94" s="482"/>
      <c r="AH94" s="482"/>
      <c r="AI94" s="482"/>
      <c r="AJ94" s="482"/>
      <c r="AK94" s="482"/>
      <c r="AL94" s="482"/>
      <c r="AM94" s="482"/>
      <c r="AN94" s="482"/>
      <c r="AO94" s="482"/>
      <c r="AP94" s="482"/>
      <c r="AQ94" s="482"/>
      <c r="AR94" s="482"/>
      <c r="AS94" s="482"/>
      <c r="AT94" s="482"/>
      <c r="AU94" s="482"/>
      <c r="AV94" s="482"/>
      <c r="AW94" s="483"/>
      <c r="AX94" s="484">
        <f t="shared" si="41"/>
        <v>0</v>
      </c>
      <c r="AY94" s="501" t="str">
        <f t="shared" si="37"/>
        <v/>
      </c>
      <c r="AZ94" s="488">
        <f t="shared" si="38"/>
        <v>0</v>
      </c>
    </row>
    <row r="95" spans="1:52" s="57" customFormat="1" ht="24.9" customHeight="1" x14ac:dyDescent="0.25">
      <c r="A95" s="425" t="s">
        <v>363</v>
      </c>
      <c r="B95" s="97" t="s">
        <v>111</v>
      </c>
      <c r="C95" s="97" t="s">
        <v>711</v>
      </c>
      <c r="D95" s="145" t="s">
        <v>165</v>
      </c>
      <c r="E95" s="230" t="s">
        <v>870</v>
      </c>
      <c r="F95" s="414" t="s">
        <v>761</v>
      </c>
      <c r="G95" s="127">
        <v>5.5</v>
      </c>
      <c r="H95" s="303" t="str">
        <f>VLOOKUP($F95,'Leistungswerte UHR Schulen'!$C$6:$F$38,3,FALSE)</f>
        <v>J1</v>
      </c>
      <c r="I95" s="328">
        <f>VLOOKUP(H95,Turnus!$D$9:$E$26,2,FALSE)</f>
        <v>1</v>
      </c>
      <c r="J95" s="127">
        <f t="shared" ref="J95" si="48">+G95*I95</f>
        <v>5.5</v>
      </c>
      <c r="K95" s="128">
        <f>VLOOKUP($F95,'Leistungswerte UHR Schulen'!$C$6:$F$38,4,FALSE)</f>
        <v>0</v>
      </c>
      <c r="L95" s="496" t="str">
        <f t="shared" si="40"/>
        <v/>
      </c>
      <c r="M95" s="129">
        <f t="shared" ref="M95" si="49">IF(ISERROR(J95/K95),0,J95/K95)</f>
        <v>0</v>
      </c>
      <c r="N95" s="547">
        <f t="shared" si="29"/>
        <v>0</v>
      </c>
      <c r="O95" s="130">
        <f t="shared" ref="O95" si="50">IF(ISERROR(G95/K95*N95),0,G95/K95*N95)</f>
        <v>0</v>
      </c>
      <c r="P95" s="131">
        <f t="shared" si="36"/>
        <v>0</v>
      </c>
      <c r="Q95" s="578">
        <f t="shared" si="39"/>
        <v>1</v>
      </c>
      <c r="R95" s="587"/>
      <c r="S95" s="482"/>
      <c r="T95" s="482"/>
      <c r="U95" s="482"/>
      <c r="V95" s="482"/>
      <c r="W95" s="482"/>
      <c r="X95" s="482"/>
      <c r="Y95" s="482"/>
      <c r="Z95" s="482"/>
      <c r="AA95" s="482"/>
      <c r="AB95" s="482"/>
      <c r="AC95" s="482"/>
      <c r="AD95" s="482"/>
      <c r="AE95" s="482"/>
      <c r="AF95" s="482"/>
      <c r="AG95" s="482"/>
      <c r="AH95" s="482"/>
      <c r="AI95" s="482"/>
      <c r="AJ95" s="482"/>
      <c r="AK95" s="482"/>
      <c r="AL95" s="482"/>
      <c r="AM95" s="482"/>
      <c r="AN95" s="482"/>
      <c r="AO95" s="482"/>
      <c r="AP95" s="482"/>
      <c r="AQ95" s="482"/>
      <c r="AR95" s="482"/>
      <c r="AS95" s="482"/>
      <c r="AT95" s="482"/>
      <c r="AU95" s="482"/>
      <c r="AV95" s="482"/>
      <c r="AW95" s="483"/>
      <c r="AX95" s="484">
        <f t="shared" si="41"/>
        <v>0</v>
      </c>
      <c r="AY95" s="501" t="str">
        <f t="shared" si="37"/>
        <v/>
      </c>
      <c r="AZ95" s="488">
        <f t="shared" si="38"/>
        <v>0</v>
      </c>
    </row>
    <row r="96" spans="1:52" s="57" customFormat="1" ht="24.9" customHeight="1" x14ac:dyDescent="0.25">
      <c r="A96" s="425" t="s">
        <v>363</v>
      </c>
      <c r="B96" s="97" t="s">
        <v>111</v>
      </c>
      <c r="C96" s="97"/>
      <c r="D96" s="145" t="s">
        <v>712</v>
      </c>
      <c r="E96" s="230" t="s">
        <v>870</v>
      </c>
      <c r="F96" s="414" t="s">
        <v>708</v>
      </c>
      <c r="G96" s="127">
        <v>5.29</v>
      </c>
      <c r="H96" s="303" t="str">
        <f>VLOOKUP($F96,'Leistungswerte UHR Schulen'!$C$6:$F$38,3,FALSE)</f>
        <v>kR</v>
      </c>
      <c r="I96" s="328">
        <f>VLOOKUP(H96,Turnus!$D$9:$E$26,2,FALSE)</f>
        <v>0</v>
      </c>
      <c r="J96" s="127">
        <f t="shared" ref="J96" si="51">+G96*I96</f>
        <v>0</v>
      </c>
      <c r="K96" s="128">
        <f>VLOOKUP($F96,'Leistungswerte UHR Schulen'!$C$6:$F$38,4,FALSE)</f>
        <v>0</v>
      </c>
      <c r="L96" s="496" t="str">
        <f t="shared" si="40"/>
        <v/>
      </c>
      <c r="M96" s="129">
        <f t="shared" ref="M96" si="52">IF(ISERROR(J96/K96),0,J96/K96)</f>
        <v>0</v>
      </c>
      <c r="N96" s="547">
        <f t="shared" si="29"/>
        <v>0</v>
      </c>
      <c r="O96" s="130">
        <f t="shared" ref="O96" si="53">IF(ISERROR(G96/K96*N96),0,G96/K96*N96)</f>
        <v>0</v>
      </c>
      <c r="P96" s="131">
        <f t="shared" si="36"/>
        <v>0</v>
      </c>
      <c r="Q96" s="578">
        <f t="shared" si="39"/>
        <v>1</v>
      </c>
      <c r="R96" s="587"/>
      <c r="S96" s="482"/>
      <c r="T96" s="482"/>
      <c r="U96" s="482"/>
      <c r="V96" s="482"/>
      <c r="W96" s="482"/>
      <c r="X96" s="482"/>
      <c r="Y96" s="482"/>
      <c r="Z96" s="482"/>
      <c r="AA96" s="482"/>
      <c r="AB96" s="482"/>
      <c r="AC96" s="482"/>
      <c r="AD96" s="482"/>
      <c r="AE96" s="482"/>
      <c r="AF96" s="482"/>
      <c r="AG96" s="482"/>
      <c r="AH96" s="482"/>
      <c r="AI96" s="482"/>
      <c r="AJ96" s="482"/>
      <c r="AK96" s="482"/>
      <c r="AL96" s="482"/>
      <c r="AM96" s="482"/>
      <c r="AN96" s="482"/>
      <c r="AO96" s="482"/>
      <c r="AP96" s="482"/>
      <c r="AQ96" s="482"/>
      <c r="AR96" s="482"/>
      <c r="AS96" s="482"/>
      <c r="AT96" s="482"/>
      <c r="AU96" s="482"/>
      <c r="AV96" s="482"/>
      <c r="AW96" s="483"/>
      <c r="AX96" s="484">
        <f t="shared" si="41"/>
        <v>0</v>
      </c>
      <c r="AY96" s="501" t="str">
        <f t="shared" si="37"/>
        <v/>
      </c>
      <c r="AZ96" s="488">
        <f t="shared" si="38"/>
        <v>0</v>
      </c>
    </row>
    <row r="97" spans="1:52" s="57" customFormat="1" ht="24.9" customHeight="1" x14ac:dyDescent="0.25">
      <c r="A97" s="425" t="s">
        <v>361</v>
      </c>
      <c r="B97" s="97" t="s">
        <v>111</v>
      </c>
      <c r="C97" s="97" t="s">
        <v>541</v>
      </c>
      <c r="D97" s="145" t="s">
        <v>266</v>
      </c>
      <c r="E97" s="230" t="s">
        <v>619</v>
      </c>
      <c r="F97" s="414" t="s">
        <v>674</v>
      </c>
      <c r="G97" s="127">
        <v>10.87</v>
      </c>
      <c r="H97" s="303" t="str">
        <f>VLOOKUP($F97,'Leistungswerte UHR Schulen'!$C$6:$F$38,3,FALSE)</f>
        <v>W5</v>
      </c>
      <c r="I97" s="328">
        <f>VLOOKUP(H97,Turnus!$D$9:$E$26,2,FALSE)</f>
        <v>188.46428571428572</v>
      </c>
      <c r="J97" s="127">
        <f>+G97*I97</f>
        <v>2048.6067857142857</v>
      </c>
      <c r="K97" s="128">
        <f>VLOOKUP($F97,'Leistungswerte UHR Schulen'!$C$6:$F$38,4,FALSE)</f>
        <v>0</v>
      </c>
      <c r="L97" s="496" t="str">
        <f t="shared" si="40"/>
        <v/>
      </c>
      <c r="M97" s="129">
        <f>IF(ISERROR(J97/K97),0,J97/K97)</f>
        <v>0</v>
      </c>
      <c r="N97" s="547">
        <f t="shared" ref="N97:N221" si="54">N$3</f>
        <v>0</v>
      </c>
      <c r="O97" s="130">
        <f>IF(ISERROR(G97/K97*N97),0,G97/K97*N97)</f>
        <v>0</v>
      </c>
      <c r="P97" s="131">
        <f t="shared" si="36"/>
        <v>0</v>
      </c>
      <c r="Q97" s="578">
        <f t="shared" si="39"/>
        <v>1</v>
      </c>
      <c r="R97" s="587"/>
      <c r="S97" s="482"/>
      <c r="T97" s="482"/>
      <c r="U97" s="482"/>
      <c r="V97" s="482"/>
      <c r="W97" s="482"/>
      <c r="X97" s="482"/>
      <c r="Y97" s="482"/>
      <c r="Z97" s="482"/>
      <c r="AA97" s="482"/>
      <c r="AB97" s="482"/>
      <c r="AC97" s="482"/>
      <c r="AD97" s="482"/>
      <c r="AE97" s="482"/>
      <c r="AF97" s="482"/>
      <c r="AG97" s="482"/>
      <c r="AH97" s="482"/>
      <c r="AI97" s="482"/>
      <c r="AJ97" s="482"/>
      <c r="AK97" s="482"/>
      <c r="AL97" s="482"/>
      <c r="AM97" s="482"/>
      <c r="AN97" s="482"/>
      <c r="AO97" s="482"/>
      <c r="AP97" s="482"/>
      <c r="AQ97" s="482"/>
      <c r="AR97" s="482"/>
      <c r="AS97" s="482"/>
      <c r="AT97" s="482"/>
      <c r="AU97" s="482"/>
      <c r="AV97" s="482"/>
      <c r="AW97" s="483"/>
      <c r="AX97" s="484">
        <f t="shared" si="41"/>
        <v>0</v>
      </c>
      <c r="AY97" s="501" t="str">
        <f t="shared" si="37"/>
        <v/>
      </c>
      <c r="AZ97" s="488">
        <f t="shared" si="38"/>
        <v>0</v>
      </c>
    </row>
    <row r="98" spans="1:52" s="57" customFormat="1" ht="24.9" customHeight="1" x14ac:dyDescent="0.25">
      <c r="A98" s="425" t="s">
        <v>361</v>
      </c>
      <c r="B98" s="97" t="s">
        <v>111</v>
      </c>
      <c r="C98" s="97" t="s">
        <v>464</v>
      </c>
      <c r="D98" s="145" t="s">
        <v>252</v>
      </c>
      <c r="E98" s="230" t="s">
        <v>253</v>
      </c>
      <c r="F98" s="414" t="s">
        <v>901</v>
      </c>
      <c r="G98" s="127">
        <v>11.66</v>
      </c>
      <c r="H98" s="303" t="str">
        <f>VLOOKUP($F98,'Leistungswerte UHR Schulen'!$C$6:$F$38,3,FALSE)</f>
        <v>W3</v>
      </c>
      <c r="I98" s="328">
        <f>VLOOKUP(H98,Turnus!$D$9:$E$26,2,FALSE)</f>
        <v>114.53571428571426</v>
      </c>
      <c r="J98" s="127">
        <f t="shared" si="21"/>
        <v>1335.4864285714284</v>
      </c>
      <c r="K98" s="128">
        <f>VLOOKUP($F98,'Leistungswerte UHR Schulen'!$C$6:$F$38,4,FALSE)</f>
        <v>0</v>
      </c>
      <c r="L98" s="496" t="str">
        <f t="shared" si="40"/>
        <v/>
      </c>
      <c r="M98" s="129">
        <f t="shared" si="22"/>
        <v>0</v>
      </c>
      <c r="N98" s="547">
        <f t="shared" si="29"/>
        <v>0</v>
      </c>
      <c r="O98" s="130">
        <f t="shared" si="23"/>
        <v>0</v>
      </c>
      <c r="P98" s="131">
        <f t="shared" si="36"/>
        <v>0</v>
      </c>
      <c r="Q98" s="578">
        <f t="shared" si="39"/>
        <v>1</v>
      </c>
      <c r="R98" s="587"/>
      <c r="S98" s="482"/>
      <c r="T98" s="482"/>
      <c r="U98" s="482"/>
      <c r="V98" s="482"/>
      <c r="W98" s="482"/>
      <c r="X98" s="482"/>
      <c r="Y98" s="482"/>
      <c r="Z98" s="482"/>
      <c r="AA98" s="482"/>
      <c r="AB98" s="482"/>
      <c r="AC98" s="482"/>
      <c r="AD98" s="482"/>
      <c r="AE98" s="482"/>
      <c r="AF98" s="482"/>
      <c r="AG98" s="482"/>
      <c r="AH98" s="482"/>
      <c r="AI98" s="482"/>
      <c r="AJ98" s="482"/>
      <c r="AK98" s="482"/>
      <c r="AL98" s="482"/>
      <c r="AM98" s="482"/>
      <c r="AN98" s="482"/>
      <c r="AO98" s="482"/>
      <c r="AP98" s="482"/>
      <c r="AQ98" s="482"/>
      <c r="AR98" s="482"/>
      <c r="AS98" s="482"/>
      <c r="AT98" s="482"/>
      <c r="AU98" s="482"/>
      <c r="AV98" s="482"/>
      <c r="AW98" s="483"/>
      <c r="AX98" s="484">
        <f t="shared" si="41"/>
        <v>0</v>
      </c>
      <c r="AY98" s="501" t="str">
        <f t="shared" si="37"/>
        <v/>
      </c>
      <c r="AZ98" s="488">
        <f t="shared" si="38"/>
        <v>0</v>
      </c>
    </row>
    <row r="99" spans="1:52" s="57" customFormat="1" ht="24.9" customHeight="1" x14ac:dyDescent="0.25">
      <c r="A99" s="425" t="s">
        <v>361</v>
      </c>
      <c r="B99" s="97" t="s">
        <v>111</v>
      </c>
      <c r="C99" s="97" t="s">
        <v>465</v>
      </c>
      <c r="D99" s="145" t="s">
        <v>466</v>
      </c>
      <c r="E99" s="230" t="s">
        <v>253</v>
      </c>
      <c r="F99" s="414" t="s">
        <v>890</v>
      </c>
      <c r="G99" s="127">
        <v>69.63</v>
      </c>
      <c r="H99" s="303" t="str">
        <f>VLOOKUP($F99,'Leistungswerte UHR Schulen'!$C$6:$F$38,3,FALSE)</f>
        <v>W3</v>
      </c>
      <c r="I99" s="328">
        <f>VLOOKUP(H99,Turnus!$D$9:$E$26,2,FALSE)</f>
        <v>114.53571428571426</v>
      </c>
      <c r="J99" s="127">
        <f t="shared" si="21"/>
        <v>7975.1217857142838</v>
      </c>
      <c r="K99" s="128">
        <f>VLOOKUP($F99,'Leistungswerte UHR Schulen'!$C$6:$F$38,4,FALSE)</f>
        <v>0</v>
      </c>
      <c r="L99" s="496" t="str">
        <f t="shared" si="40"/>
        <v/>
      </c>
      <c r="M99" s="129">
        <f t="shared" si="22"/>
        <v>0</v>
      </c>
      <c r="N99" s="547">
        <f t="shared" si="29"/>
        <v>0</v>
      </c>
      <c r="O99" s="130">
        <f t="shared" si="23"/>
        <v>0</v>
      </c>
      <c r="P99" s="131">
        <f t="shared" si="36"/>
        <v>0</v>
      </c>
      <c r="Q99" s="578">
        <f t="shared" si="39"/>
        <v>1</v>
      </c>
      <c r="R99" s="587"/>
      <c r="S99" s="482"/>
      <c r="T99" s="482"/>
      <c r="U99" s="482"/>
      <c r="V99" s="482"/>
      <c r="W99" s="482"/>
      <c r="X99" s="482"/>
      <c r="Y99" s="482"/>
      <c r="Z99" s="482"/>
      <c r="AA99" s="482"/>
      <c r="AB99" s="482"/>
      <c r="AC99" s="482"/>
      <c r="AD99" s="482"/>
      <c r="AE99" s="482"/>
      <c r="AF99" s="482"/>
      <c r="AG99" s="482"/>
      <c r="AH99" s="482"/>
      <c r="AI99" s="482"/>
      <c r="AJ99" s="482"/>
      <c r="AK99" s="482"/>
      <c r="AL99" s="482"/>
      <c r="AM99" s="482"/>
      <c r="AN99" s="482"/>
      <c r="AO99" s="482"/>
      <c r="AP99" s="482"/>
      <c r="AQ99" s="482"/>
      <c r="AR99" s="482"/>
      <c r="AS99" s="482"/>
      <c r="AT99" s="482"/>
      <c r="AU99" s="482"/>
      <c r="AV99" s="482"/>
      <c r="AW99" s="483"/>
      <c r="AX99" s="484">
        <f t="shared" si="41"/>
        <v>0</v>
      </c>
      <c r="AY99" s="501" t="str">
        <f t="shared" si="37"/>
        <v/>
      </c>
      <c r="AZ99" s="488">
        <f t="shared" si="38"/>
        <v>0</v>
      </c>
    </row>
    <row r="100" spans="1:52" s="57" customFormat="1" ht="24.9" customHeight="1" x14ac:dyDescent="0.25">
      <c r="A100" s="425" t="s">
        <v>361</v>
      </c>
      <c r="B100" s="97" t="s">
        <v>111</v>
      </c>
      <c r="C100" s="97" t="s">
        <v>467</v>
      </c>
      <c r="D100" s="145" t="s">
        <v>259</v>
      </c>
      <c r="E100" s="230" t="s">
        <v>253</v>
      </c>
      <c r="F100" s="414" t="s">
        <v>897</v>
      </c>
      <c r="G100" s="127">
        <v>27.22</v>
      </c>
      <c r="H100" s="303" t="str">
        <f>VLOOKUP($F100,'Leistungswerte UHR Schulen'!$C$6:$F$38,3,FALSE)</f>
        <v>W3</v>
      </c>
      <c r="I100" s="328">
        <f>VLOOKUP(H100,Turnus!$D$9:$E$26,2,FALSE)</f>
        <v>114.53571428571426</v>
      </c>
      <c r="J100" s="127">
        <f t="shared" si="21"/>
        <v>3117.662142857142</v>
      </c>
      <c r="K100" s="128">
        <f>VLOOKUP($F100,'Leistungswerte UHR Schulen'!$C$6:$F$38,4,FALSE)</f>
        <v>0</v>
      </c>
      <c r="L100" s="496" t="str">
        <f t="shared" si="40"/>
        <v/>
      </c>
      <c r="M100" s="129">
        <f t="shared" si="22"/>
        <v>0</v>
      </c>
      <c r="N100" s="547">
        <f t="shared" si="29"/>
        <v>0</v>
      </c>
      <c r="O100" s="130">
        <f t="shared" si="23"/>
        <v>0</v>
      </c>
      <c r="P100" s="131">
        <f t="shared" si="36"/>
        <v>0</v>
      </c>
      <c r="Q100" s="578">
        <f t="shared" si="39"/>
        <v>1</v>
      </c>
      <c r="R100" s="587"/>
      <c r="S100" s="482"/>
      <c r="T100" s="482"/>
      <c r="U100" s="482"/>
      <c r="V100" s="482"/>
      <c r="W100" s="482"/>
      <c r="X100" s="482"/>
      <c r="Y100" s="482"/>
      <c r="Z100" s="482"/>
      <c r="AA100" s="482"/>
      <c r="AB100" s="482"/>
      <c r="AC100" s="482"/>
      <c r="AD100" s="482"/>
      <c r="AE100" s="482"/>
      <c r="AF100" s="482"/>
      <c r="AG100" s="482"/>
      <c r="AH100" s="482"/>
      <c r="AI100" s="482"/>
      <c r="AJ100" s="482"/>
      <c r="AK100" s="482"/>
      <c r="AL100" s="482"/>
      <c r="AM100" s="482"/>
      <c r="AN100" s="482"/>
      <c r="AO100" s="482"/>
      <c r="AP100" s="482"/>
      <c r="AQ100" s="482"/>
      <c r="AR100" s="482"/>
      <c r="AS100" s="482"/>
      <c r="AT100" s="482"/>
      <c r="AU100" s="482"/>
      <c r="AV100" s="482"/>
      <c r="AW100" s="483"/>
      <c r="AX100" s="484">
        <f t="shared" si="41"/>
        <v>0</v>
      </c>
      <c r="AY100" s="501" t="str">
        <f t="shared" si="37"/>
        <v/>
      </c>
      <c r="AZ100" s="488">
        <f t="shared" si="38"/>
        <v>0</v>
      </c>
    </row>
    <row r="101" spans="1:52" s="57" customFormat="1" ht="24.9" customHeight="1" x14ac:dyDescent="0.25">
      <c r="A101" s="425" t="s">
        <v>361</v>
      </c>
      <c r="B101" s="97" t="s">
        <v>111</v>
      </c>
      <c r="C101" s="97" t="s">
        <v>468</v>
      </c>
      <c r="D101" s="145" t="s">
        <v>469</v>
      </c>
      <c r="E101" s="230" t="s">
        <v>253</v>
      </c>
      <c r="F101" s="414" t="s">
        <v>890</v>
      </c>
      <c r="G101" s="127">
        <v>69.63</v>
      </c>
      <c r="H101" s="303" t="str">
        <f>VLOOKUP($F101,'Leistungswerte UHR Schulen'!$C$6:$F$38,3,FALSE)</f>
        <v>W3</v>
      </c>
      <c r="I101" s="328">
        <f>VLOOKUP(H101,Turnus!$D$9:$E$26,2,FALSE)</f>
        <v>114.53571428571426</v>
      </c>
      <c r="J101" s="127">
        <f t="shared" si="21"/>
        <v>7975.1217857142838</v>
      </c>
      <c r="K101" s="128">
        <f>VLOOKUP($F101,'Leistungswerte UHR Schulen'!$C$6:$F$38,4,FALSE)</f>
        <v>0</v>
      </c>
      <c r="L101" s="496" t="str">
        <f t="shared" si="40"/>
        <v/>
      </c>
      <c r="M101" s="129">
        <f t="shared" si="22"/>
        <v>0</v>
      </c>
      <c r="N101" s="547">
        <f t="shared" si="29"/>
        <v>0</v>
      </c>
      <c r="O101" s="130">
        <f t="shared" si="23"/>
        <v>0</v>
      </c>
      <c r="P101" s="131">
        <f t="shared" si="36"/>
        <v>0</v>
      </c>
      <c r="Q101" s="578">
        <f t="shared" si="39"/>
        <v>1</v>
      </c>
      <c r="R101" s="587"/>
      <c r="S101" s="482"/>
      <c r="T101" s="482"/>
      <c r="U101" s="482"/>
      <c r="V101" s="482"/>
      <c r="W101" s="482"/>
      <c r="X101" s="482"/>
      <c r="Y101" s="482"/>
      <c r="Z101" s="482"/>
      <c r="AA101" s="482"/>
      <c r="AB101" s="482"/>
      <c r="AC101" s="482"/>
      <c r="AD101" s="482"/>
      <c r="AE101" s="482"/>
      <c r="AF101" s="482"/>
      <c r="AG101" s="482"/>
      <c r="AH101" s="482"/>
      <c r="AI101" s="482"/>
      <c r="AJ101" s="482"/>
      <c r="AK101" s="482"/>
      <c r="AL101" s="482"/>
      <c r="AM101" s="482"/>
      <c r="AN101" s="482"/>
      <c r="AO101" s="482"/>
      <c r="AP101" s="482"/>
      <c r="AQ101" s="482"/>
      <c r="AR101" s="482"/>
      <c r="AS101" s="482"/>
      <c r="AT101" s="482"/>
      <c r="AU101" s="482"/>
      <c r="AV101" s="482"/>
      <c r="AW101" s="483"/>
      <c r="AX101" s="484">
        <f t="shared" si="41"/>
        <v>0</v>
      </c>
      <c r="AY101" s="501" t="str">
        <f t="shared" si="37"/>
        <v/>
      </c>
      <c r="AZ101" s="488">
        <f t="shared" si="38"/>
        <v>0</v>
      </c>
    </row>
    <row r="102" spans="1:52" s="57" customFormat="1" ht="24.9" customHeight="1" x14ac:dyDescent="0.25">
      <c r="A102" s="425" t="s">
        <v>361</v>
      </c>
      <c r="B102" s="97" t="s">
        <v>111</v>
      </c>
      <c r="C102" s="97" t="s">
        <v>470</v>
      </c>
      <c r="D102" s="145" t="s">
        <v>252</v>
      </c>
      <c r="E102" s="230" t="s">
        <v>253</v>
      </c>
      <c r="F102" s="414" t="s">
        <v>901</v>
      </c>
      <c r="G102" s="127">
        <v>11.66</v>
      </c>
      <c r="H102" s="303" t="str">
        <f>VLOOKUP($F102,'Leistungswerte UHR Schulen'!$C$6:$F$38,3,FALSE)</f>
        <v>W3</v>
      </c>
      <c r="I102" s="328">
        <f>VLOOKUP(H102,Turnus!$D$9:$E$26,2,FALSE)</f>
        <v>114.53571428571426</v>
      </c>
      <c r="J102" s="127">
        <f t="shared" si="21"/>
        <v>1335.4864285714284</v>
      </c>
      <c r="K102" s="128">
        <f>VLOOKUP($F102,'Leistungswerte UHR Schulen'!$C$6:$F$38,4,FALSE)</f>
        <v>0</v>
      </c>
      <c r="L102" s="496" t="str">
        <f t="shared" si="40"/>
        <v/>
      </c>
      <c r="M102" s="129">
        <f t="shared" si="22"/>
        <v>0</v>
      </c>
      <c r="N102" s="547">
        <f t="shared" si="29"/>
        <v>0</v>
      </c>
      <c r="O102" s="130">
        <f t="shared" si="23"/>
        <v>0</v>
      </c>
      <c r="P102" s="131">
        <f t="shared" si="36"/>
        <v>0</v>
      </c>
      <c r="Q102" s="578">
        <f t="shared" si="39"/>
        <v>1</v>
      </c>
      <c r="R102" s="587"/>
      <c r="S102" s="482"/>
      <c r="T102" s="482"/>
      <c r="U102" s="482"/>
      <c r="V102" s="482"/>
      <c r="W102" s="482"/>
      <c r="X102" s="482"/>
      <c r="Y102" s="482"/>
      <c r="Z102" s="482"/>
      <c r="AA102" s="482"/>
      <c r="AB102" s="482"/>
      <c r="AC102" s="482"/>
      <c r="AD102" s="482"/>
      <c r="AE102" s="482"/>
      <c r="AF102" s="482"/>
      <c r="AG102" s="482"/>
      <c r="AH102" s="482"/>
      <c r="AI102" s="482"/>
      <c r="AJ102" s="482"/>
      <c r="AK102" s="482"/>
      <c r="AL102" s="482"/>
      <c r="AM102" s="482"/>
      <c r="AN102" s="482"/>
      <c r="AO102" s="482"/>
      <c r="AP102" s="482"/>
      <c r="AQ102" s="482"/>
      <c r="AR102" s="482"/>
      <c r="AS102" s="482"/>
      <c r="AT102" s="482"/>
      <c r="AU102" s="482"/>
      <c r="AV102" s="482"/>
      <c r="AW102" s="483"/>
      <c r="AX102" s="484">
        <f t="shared" si="41"/>
        <v>0</v>
      </c>
      <c r="AY102" s="501" t="str">
        <f t="shared" si="37"/>
        <v/>
      </c>
      <c r="AZ102" s="488">
        <f t="shared" si="38"/>
        <v>0</v>
      </c>
    </row>
    <row r="103" spans="1:52" s="57" customFormat="1" ht="24.9" customHeight="1" x14ac:dyDescent="0.25">
      <c r="A103" s="425" t="s">
        <v>361</v>
      </c>
      <c r="B103" s="97" t="s">
        <v>111</v>
      </c>
      <c r="C103" s="97" t="s">
        <v>530</v>
      </c>
      <c r="D103" s="145" t="s">
        <v>102</v>
      </c>
      <c r="E103" s="230" t="s">
        <v>619</v>
      </c>
      <c r="F103" s="414" t="s">
        <v>676</v>
      </c>
      <c r="G103" s="127">
        <v>74.930000000000007</v>
      </c>
      <c r="H103" s="303" t="str">
        <f>VLOOKUP($F103,'Leistungswerte UHR Schulen'!$C$6:$F$38,3,FALSE)</f>
        <v>W5</v>
      </c>
      <c r="I103" s="328">
        <f>VLOOKUP(H103,Turnus!$D$9:$E$26,2,FALSE)</f>
        <v>188.46428571428572</v>
      </c>
      <c r="J103" s="127">
        <f>+G103*I103</f>
        <v>14121.62892857143</v>
      </c>
      <c r="K103" s="128">
        <f>VLOOKUP($F103,'Leistungswerte UHR Schulen'!$C$6:$F$38,4,FALSE)</f>
        <v>0</v>
      </c>
      <c r="L103" s="496" t="str">
        <f t="shared" si="40"/>
        <v/>
      </c>
      <c r="M103" s="129">
        <f>IF(ISERROR(J103/K103),0,J103/K103)</f>
        <v>0</v>
      </c>
      <c r="N103" s="547">
        <f t="shared" si="29"/>
        <v>0</v>
      </c>
      <c r="O103" s="130">
        <f>IF(ISERROR(G103/K103*N103),0,G103/K103*N103)</f>
        <v>0</v>
      </c>
      <c r="P103" s="131">
        <f t="shared" si="36"/>
        <v>0</v>
      </c>
      <c r="Q103" s="578">
        <f t="shared" si="39"/>
        <v>1</v>
      </c>
      <c r="R103" s="587"/>
      <c r="S103" s="482"/>
      <c r="T103" s="482"/>
      <c r="U103" s="482"/>
      <c r="V103" s="482"/>
      <c r="W103" s="482"/>
      <c r="X103" s="482"/>
      <c r="Y103" s="482"/>
      <c r="Z103" s="482"/>
      <c r="AA103" s="482"/>
      <c r="AB103" s="482"/>
      <c r="AC103" s="482"/>
      <c r="AD103" s="482"/>
      <c r="AE103" s="482"/>
      <c r="AF103" s="482"/>
      <c r="AG103" s="482"/>
      <c r="AH103" s="482"/>
      <c r="AI103" s="482"/>
      <c r="AJ103" s="482"/>
      <c r="AK103" s="482"/>
      <c r="AL103" s="482"/>
      <c r="AM103" s="482"/>
      <c r="AN103" s="482"/>
      <c r="AO103" s="482"/>
      <c r="AP103" s="482"/>
      <c r="AQ103" s="482"/>
      <c r="AR103" s="482"/>
      <c r="AS103" s="482"/>
      <c r="AT103" s="482"/>
      <c r="AU103" s="482"/>
      <c r="AV103" s="482"/>
      <c r="AW103" s="483"/>
      <c r="AX103" s="484">
        <f t="shared" si="41"/>
        <v>0</v>
      </c>
      <c r="AY103" s="501" t="str">
        <f t="shared" si="37"/>
        <v/>
      </c>
      <c r="AZ103" s="488">
        <f t="shared" si="38"/>
        <v>0</v>
      </c>
    </row>
    <row r="104" spans="1:52" s="57" customFormat="1" ht="24.9" customHeight="1" x14ac:dyDescent="0.25">
      <c r="A104" s="425" t="s">
        <v>361</v>
      </c>
      <c r="B104" s="97" t="s">
        <v>111</v>
      </c>
      <c r="C104" s="97" t="s">
        <v>471</v>
      </c>
      <c r="D104" s="145" t="s">
        <v>252</v>
      </c>
      <c r="E104" s="230" t="s">
        <v>253</v>
      </c>
      <c r="F104" s="414" t="s">
        <v>901</v>
      </c>
      <c r="G104" s="127">
        <v>11.66</v>
      </c>
      <c r="H104" s="303" t="str">
        <f>VLOOKUP($F104,'Leistungswerte UHR Schulen'!$C$6:$F$38,3,FALSE)</f>
        <v>W3</v>
      </c>
      <c r="I104" s="328">
        <f>VLOOKUP(H104,Turnus!$D$9:$E$26,2,FALSE)</f>
        <v>114.53571428571426</v>
      </c>
      <c r="J104" s="127">
        <f t="shared" si="21"/>
        <v>1335.4864285714284</v>
      </c>
      <c r="K104" s="128">
        <f>VLOOKUP($F104,'Leistungswerte UHR Schulen'!$C$6:$F$38,4,FALSE)</f>
        <v>0</v>
      </c>
      <c r="L104" s="496" t="str">
        <f t="shared" si="40"/>
        <v/>
      </c>
      <c r="M104" s="129">
        <f t="shared" si="22"/>
        <v>0</v>
      </c>
      <c r="N104" s="547">
        <f t="shared" si="29"/>
        <v>0</v>
      </c>
      <c r="O104" s="130">
        <f t="shared" si="23"/>
        <v>0</v>
      </c>
      <c r="P104" s="131">
        <f t="shared" si="36"/>
        <v>0</v>
      </c>
      <c r="Q104" s="578">
        <f t="shared" si="39"/>
        <v>1</v>
      </c>
      <c r="R104" s="587"/>
      <c r="S104" s="482"/>
      <c r="T104" s="482"/>
      <c r="U104" s="482"/>
      <c r="V104" s="482"/>
      <c r="W104" s="482"/>
      <c r="X104" s="482"/>
      <c r="Y104" s="482"/>
      <c r="Z104" s="482"/>
      <c r="AA104" s="482"/>
      <c r="AB104" s="482"/>
      <c r="AC104" s="482"/>
      <c r="AD104" s="482"/>
      <c r="AE104" s="482"/>
      <c r="AF104" s="482"/>
      <c r="AG104" s="482"/>
      <c r="AH104" s="482"/>
      <c r="AI104" s="482"/>
      <c r="AJ104" s="482"/>
      <c r="AK104" s="482"/>
      <c r="AL104" s="482"/>
      <c r="AM104" s="482"/>
      <c r="AN104" s="482"/>
      <c r="AO104" s="482"/>
      <c r="AP104" s="482"/>
      <c r="AQ104" s="482"/>
      <c r="AR104" s="482"/>
      <c r="AS104" s="482"/>
      <c r="AT104" s="482"/>
      <c r="AU104" s="482"/>
      <c r="AV104" s="482"/>
      <c r="AW104" s="483"/>
      <c r="AX104" s="484">
        <f t="shared" si="41"/>
        <v>0</v>
      </c>
      <c r="AY104" s="501" t="str">
        <f t="shared" si="37"/>
        <v/>
      </c>
      <c r="AZ104" s="488">
        <f t="shared" si="38"/>
        <v>0</v>
      </c>
    </row>
    <row r="105" spans="1:52" s="57" customFormat="1" ht="24.9" customHeight="1" x14ac:dyDescent="0.25">
      <c r="A105" s="425" t="s">
        <v>361</v>
      </c>
      <c r="B105" s="97" t="s">
        <v>111</v>
      </c>
      <c r="C105" s="97" t="s">
        <v>472</v>
      </c>
      <c r="D105" s="145" t="s">
        <v>473</v>
      </c>
      <c r="E105" s="230" t="s">
        <v>253</v>
      </c>
      <c r="F105" s="414" t="s">
        <v>890</v>
      </c>
      <c r="G105" s="127">
        <v>69.63</v>
      </c>
      <c r="H105" s="303" t="str">
        <f>VLOOKUP($F105,'Leistungswerte UHR Schulen'!$C$6:$F$38,3,FALSE)</f>
        <v>W3</v>
      </c>
      <c r="I105" s="328">
        <f>VLOOKUP(H105,Turnus!$D$9:$E$26,2,FALSE)</f>
        <v>114.53571428571426</v>
      </c>
      <c r="J105" s="127">
        <f t="shared" si="21"/>
        <v>7975.1217857142838</v>
      </c>
      <c r="K105" s="128">
        <f>VLOOKUP($F105,'Leistungswerte UHR Schulen'!$C$6:$F$38,4,FALSE)</f>
        <v>0</v>
      </c>
      <c r="L105" s="496" t="str">
        <f t="shared" si="40"/>
        <v/>
      </c>
      <c r="M105" s="129">
        <f t="shared" si="22"/>
        <v>0</v>
      </c>
      <c r="N105" s="547">
        <f t="shared" si="29"/>
        <v>0</v>
      </c>
      <c r="O105" s="130">
        <f t="shared" si="23"/>
        <v>0</v>
      </c>
      <c r="P105" s="131">
        <f t="shared" si="36"/>
        <v>0</v>
      </c>
      <c r="Q105" s="578">
        <f t="shared" si="39"/>
        <v>1</v>
      </c>
      <c r="R105" s="587"/>
      <c r="S105" s="482"/>
      <c r="T105" s="482"/>
      <c r="U105" s="482"/>
      <c r="V105" s="482"/>
      <c r="W105" s="482"/>
      <c r="X105" s="482"/>
      <c r="Y105" s="482"/>
      <c r="Z105" s="482"/>
      <c r="AA105" s="482"/>
      <c r="AB105" s="482"/>
      <c r="AC105" s="482"/>
      <c r="AD105" s="482"/>
      <c r="AE105" s="482"/>
      <c r="AF105" s="482"/>
      <c r="AG105" s="482"/>
      <c r="AH105" s="482"/>
      <c r="AI105" s="482"/>
      <c r="AJ105" s="482"/>
      <c r="AK105" s="482"/>
      <c r="AL105" s="482"/>
      <c r="AM105" s="482"/>
      <c r="AN105" s="482"/>
      <c r="AO105" s="482"/>
      <c r="AP105" s="482"/>
      <c r="AQ105" s="482"/>
      <c r="AR105" s="482"/>
      <c r="AS105" s="482"/>
      <c r="AT105" s="482"/>
      <c r="AU105" s="482"/>
      <c r="AV105" s="482"/>
      <c r="AW105" s="483"/>
      <c r="AX105" s="484">
        <f t="shared" si="41"/>
        <v>0</v>
      </c>
      <c r="AY105" s="501" t="str">
        <f t="shared" si="37"/>
        <v/>
      </c>
      <c r="AZ105" s="488">
        <f t="shared" si="38"/>
        <v>0</v>
      </c>
    </row>
    <row r="106" spans="1:52" s="57" customFormat="1" ht="24.9" customHeight="1" x14ac:dyDescent="0.25">
      <c r="A106" s="425" t="s">
        <v>361</v>
      </c>
      <c r="B106" s="97" t="s">
        <v>111</v>
      </c>
      <c r="C106" s="97" t="s">
        <v>474</v>
      </c>
      <c r="D106" s="145" t="s">
        <v>259</v>
      </c>
      <c r="E106" s="230" t="s">
        <v>253</v>
      </c>
      <c r="F106" s="414" t="s">
        <v>897</v>
      </c>
      <c r="G106" s="127">
        <v>27.22</v>
      </c>
      <c r="H106" s="303" t="str">
        <f>VLOOKUP($F106,'Leistungswerte UHR Schulen'!$C$6:$F$38,3,FALSE)</f>
        <v>W3</v>
      </c>
      <c r="I106" s="328">
        <f>VLOOKUP(H106,Turnus!$D$9:$E$26,2,FALSE)</f>
        <v>114.53571428571426</v>
      </c>
      <c r="J106" s="127">
        <f t="shared" si="21"/>
        <v>3117.662142857142</v>
      </c>
      <c r="K106" s="128">
        <f>VLOOKUP($F106,'Leistungswerte UHR Schulen'!$C$6:$F$38,4,FALSE)</f>
        <v>0</v>
      </c>
      <c r="L106" s="496" t="str">
        <f t="shared" si="40"/>
        <v/>
      </c>
      <c r="M106" s="129">
        <f t="shared" si="22"/>
        <v>0</v>
      </c>
      <c r="N106" s="547">
        <f t="shared" si="29"/>
        <v>0</v>
      </c>
      <c r="O106" s="130">
        <f t="shared" si="23"/>
        <v>0</v>
      </c>
      <c r="P106" s="131">
        <f t="shared" si="36"/>
        <v>0</v>
      </c>
      <c r="Q106" s="578">
        <f t="shared" si="39"/>
        <v>1</v>
      </c>
      <c r="R106" s="587"/>
      <c r="S106" s="482"/>
      <c r="T106" s="482"/>
      <c r="U106" s="482"/>
      <c r="V106" s="482"/>
      <c r="W106" s="482"/>
      <c r="X106" s="482"/>
      <c r="Y106" s="482"/>
      <c r="Z106" s="482"/>
      <c r="AA106" s="482"/>
      <c r="AB106" s="482"/>
      <c r="AC106" s="482"/>
      <c r="AD106" s="482"/>
      <c r="AE106" s="482"/>
      <c r="AF106" s="482"/>
      <c r="AG106" s="482"/>
      <c r="AH106" s="482"/>
      <c r="AI106" s="482"/>
      <c r="AJ106" s="482"/>
      <c r="AK106" s="482"/>
      <c r="AL106" s="482"/>
      <c r="AM106" s="482"/>
      <c r="AN106" s="482"/>
      <c r="AO106" s="482"/>
      <c r="AP106" s="482"/>
      <c r="AQ106" s="482"/>
      <c r="AR106" s="482"/>
      <c r="AS106" s="482"/>
      <c r="AT106" s="482"/>
      <c r="AU106" s="482"/>
      <c r="AV106" s="482"/>
      <c r="AW106" s="483"/>
      <c r="AX106" s="484">
        <f t="shared" si="41"/>
        <v>0</v>
      </c>
      <c r="AY106" s="501" t="str">
        <f t="shared" si="37"/>
        <v/>
      </c>
      <c r="AZ106" s="488">
        <f t="shared" si="38"/>
        <v>0</v>
      </c>
    </row>
    <row r="107" spans="1:52" s="57" customFormat="1" ht="24.9" customHeight="1" x14ac:dyDescent="0.25">
      <c r="A107" s="425" t="s">
        <v>361</v>
      </c>
      <c r="B107" s="97" t="s">
        <v>111</v>
      </c>
      <c r="C107" s="97" t="s">
        <v>475</v>
      </c>
      <c r="D107" s="145" t="s">
        <v>476</v>
      </c>
      <c r="E107" s="230" t="s">
        <v>253</v>
      </c>
      <c r="F107" s="414" t="s">
        <v>890</v>
      </c>
      <c r="G107" s="127">
        <v>69.63</v>
      </c>
      <c r="H107" s="303" t="str">
        <f>VLOOKUP($F107,'Leistungswerte UHR Schulen'!$C$6:$F$38,3,FALSE)</f>
        <v>W3</v>
      </c>
      <c r="I107" s="328">
        <f>VLOOKUP(H107,Turnus!$D$9:$E$26,2,FALSE)</f>
        <v>114.53571428571426</v>
      </c>
      <c r="J107" s="127">
        <f t="shared" si="21"/>
        <v>7975.1217857142838</v>
      </c>
      <c r="K107" s="128">
        <f>VLOOKUP($F107,'Leistungswerte UHR Schulen'!$C$6:$F$38,4,FALSE)</f>
        <v>0</v>
      </c>
      <c r="L107" s="496" t="str">
        <f t="shared" si="40"/>
        <v/>
      </c>
      <c r="M107" s="129">
        <f t="shared" si="22"/>
        <v>0</v>
      </c>
      <c r="N107" s="547">
        <f t="shared" si="29"/>
        <v>0</v>
      </c>
      <c r="O107" s="130">
        <f t="shared" si="23"/>
        <v>0</v>
      </c>
      <c r="P107" s="131">
        <f t="shared" si="36"/>
        <v>0</v>
      </c>
      <c r="Q107" s="578">
        <f t="shared" si="39"/>
        <v>1</v>
      </c>
      <c r="R107" s="587"/>
      <c r="S107" s="482"/>
      <c r="T107" s="482"/>
      <c r="U107" s="482"/>
      <c r="V107" s="482"/>
      <c r="W107" s="482"/>
      <c r="X107" s="482"/>
      <c r="Y107" s="482"/>
      <c r="Z107" s="482"/>
      <c r="AA107" s="482"/>
      <c r="AB107" s="482"/>
      <c r="AC107" s="482"/>
      <c r="AD107" s="482"/>
      <c r="AE107" s="482"/>
      <c r="AF107" s="482"/>
      <c r="AG107" s="482"/>
      <c r="AH107" s="482"/>
      <c r="AI107" s="482"/>
      <c r="AJ107" s="482"/>
      <c r="AK107" s="482"/>
      <c r="AL107" s="482"/>
      <c r="AM107" s="482"/>
      <c r="AN107" s="482"/>
      <c r="AO107" s="482"/>
      <c r="AP107" s="482"/>
      <c r="AQ107" s="482"/>
      <c r="AR107" s="482"/>
      <c r="AS107" s="482"/>
      <c r="AT107" s="482"/>
      <c r="AU107" s="482"/>
      <c r="AV107" s="482"/>
      <c r="AW107" s="483"/>
      <c r="AX107" s="484">
        <f t="shared" si="41"/>
        <v>0</v>
      </c>
      <c r="AY107" s="501" t="str">
        <f t="shared" si="37"/>
        <v/>
      </c>
      <c r="AZ107" s="488">
        <f t="shared" si="38"/>
        <v>0</v>
      </c>
    </row>
    <row r="108" spans="1:52" s="57" customFormat="1" ht="24.9" customHeight="1" x14ac:dyDescent="0.25">
      <c r="A108" s="425" t="s">
        <v>361</v>
      </c>
      <c r="B108" s="97" t="s">
        <v>111</v>
      </c>
      <c r="C108" s="97" t="s">
        <v>477</v>
      </c>
      <c r="D108" s="145" t="s">
        <v>252</v>
      </c>
      <c r="E108" s="230" t="s">
        <v>253</v>
      </c>
      <c r="F108" s="414" t="s">
        <v>901</v>
      </c>
      <c r="G108" s="127">
        <v>11.66</v>
      </c>
      <c r="H108" s="303" t="str">
        <f>VLOOKUP($F108,'Leistungswerte UHR Schulen'!$C$6:$F$38,3,FALSE)</f>
        <v>W3</v>
      </c>
      <c r="I108" s="328">
        <f>VLOOKUP(H108,Turnus!$D$9:$E$26,2,FALSE)</f>
        <v>114.53571428571426</v>
      </c>
      <c r="J108" s="127">
        <f t="shared" si="18"/>
        <v>1335.4864285714284</v>
      </c>
      <c r="K108" s="128">
        <f>VLOOKUP($F108,'Leistungswerte UHR Schulen'!$C$6:$F$38,4,FALSE)</f>
        <v>0</v>
      </c>
      <c r="L108" s="496" t="str">
        <f t="shared" si="40"/>
        <v/>
      </c>
      <c r="M108" s="129">
        <f t="shared" si="19"/>
        <v>0</v>
      </c>
      <c r="N108" s="547">
        <f t="shared" si="29"/>
        <v>0</v>
      </c>
      <c r="O108" s="130">
        <f t="shared" si="20"/>
        <v>0</v>
      </c>
      <c r="P108" s="131">
        <f t="shared" si="36"/>
        <v>0</v>
      </c>
      <c r="Q108" s="578">
        <f t="shared" si="39"/>
        <v>1</v>
      </c>
      <c r="R108" s="587"/>
      <c r="S108" s="482"/>
      <c r="T108" s="482"/>
      <c r="U108" s="482"/>
      <c r="V108" s="482"/>
      <c r="W108" s="482"/>
      <c r="X108" s="482"/>
      <c r="Y108" s="482"/>
      <c r="Z108" s="482"/>
      <c r="AA108" s="482"/>
      <c r="AB108" s="482"/>
      <c r="AC108" s="482"/>
      <c r="AD108" s="482"/>
      <c r="AE108" s="482"/>
      <c r="AF108" s="482"/>
      <c r="AG108" s="482"/>
      <c r="AH108" s="482"/>
      <c r="AI108" s="482"/>
      <c r="AJ108" s="482"/>
      <c r="AK108" s="482"/>
      <c r="AL108" s="482"/>
      <c r="AM108" s="482"/>
      <c r="AN108" s="482"/>
      <c r="AO108" s="482"/>
      <c r="AP108" s="482"/>
      <c r="AQ108" s="482"/>
      <c r="AR108" s="482"/>
      <c r="AS108" s="482"/>
      <c r="AT108" s="482"/>
      <c r="AU108" s="482"/>
      <c r="AV108" s="482"/>
      <c r="AW108" s="483"/>
      <c r="AX108" s="484">
        <f t="shared" si="41"/>
        <v>0</v>
      </c>
      <c r="AY108" s="501" t="str">
        <f t="shared" si="37"/>
        <v/>
      </c>
      <c r="AZ108" s="488">
        <f t="shared" si="38"/>
        <v>0</v>
      </c>
    </row>
    <row r="109" spans="1:52" s="57" customFormat="1" ht="24.9" customHeight="1" x14ac:dyDescent="0.25">
      <c r="A109" s="425" t="s">
        <v>361</v>
      </c>
      <c r="B109" s="97" t="s">
        <v>111</v>
      </c>
      <c r="C109" s="97" t="s">
        <v>531</v>
      </c>
      <c r="D109" s="145" t="s">
        <v>102</v>
      </c>
      <c r="E109" s="230" t="s">
        <v>619</v>
      </c>
      <c r="F109" s="414" t="s">
        <v>676</v>
      </c>
      <c r="G109" s="127">
        <v>128.16</v>
      </c>
      <c r="H109" s="303" t="str">
        <f>VLOOKUP($F109,'Leistungswerte UHR Schulen'!$C$6:$F$38,3,FALSE)</f>
        <v>W5</v>
      </c>
      <c r="I109" s="328">
        <f>VLOOKUP(H109,Turnus!$D$9:$E$26,2,FALSE)</f>
        <v>188.46428571428572</v>
      </c>
      <c r="J109" s="127">
        <f>+G109*I109</f>
        <v>24153.582857142857</v>
      </c>
      <c r="K109" s="128">
        <f>VLOOKUP($F109,'Leistungswerte UHR Schulen'!$C$6:$F$38,4,FALSE)</f>
        <v>0</v>
      </c>
      <c r="L109" s="496" t="str">
        <f t="shared" si="40"/>
        <v/>
      </c>
      <c r="M109" s="129">
        <f>IF(ISERROR(J109/K109),0,J109/K109)</f>
        <v>0</v>
      </c>
      <c r="N109" s="547">
        <f t="shared" si="29"/>
        <v>0</v>
      </c>
      <c r="O109" s="130">
        <f>IF(ISERROR(G109/K109*N109),0,G109/K109*N109)</f>
        <v>0</v>
      </c>
      <c r="P109" s="131">
        <f t="shared" si="36"/>
        <v>0</v>
      </c>
      <c r="Q109" s="578">
        <f t="shared" si="39"/>
        <v>1</v>
      </c>
      <c r="R109" s="587"/>
      <c r="S109" s="482"/>
      <c r="T109" s="482"/>
      <c r="U109" s="482"/>
      <c r="V109" s="482"/>
      <c r="W109" s="482"/>
      <c r="X109" s="482"/>
      <c r="Y109" s="482"/>
      <c r="Z109" s="482"/>
      <c r="AA109" s="482"/>
      <c r="AB109" s="482"/>
      <c r="AC109" s="482"/>
      <c r="AD109" s="482"/>
      <c r="AE109" s="482"/>
      <c r="AF109" s="482"/>
      <c r="AG109" s="482"/>
      <c r="AH109" s="482"/>
      <c r="AI109" s="482"/>
      <c r="AJ109" s="482"/>
      <c r="AK109" s="482"/>
      <c r="AL109" s="482"/>
      <c r="AM109" s="482"/>
      <c r="AN109" s="482"/>
      <c r="AO109" s="482"/>
      <c r="AP109" s="482"/>
      <c r="AQ109" s="482"/>
      <c r="AR109" s="482"/>
      <c r="AS109" s="482"/>
      <c r="AT109" s="482"/>
      <c r="AU109" s="482"/>
      <c r="AV109" s="482"/>
      <c r="AW109" s="483"/>
      <c r="AX109" s="484">
        <f t="shared" si="41"/>
        <v>0</v>
      </c>
      <c r="AY109" s="501" t="str">
        <f t="shared" si="37"/>
        <v/>
      </c>
      <c r="AZ109" s="488">
        <f t="shared" si="38"/>
        <v>0</v>
      </c>
    </row>
    <row r="110" spans="1:52" s="57" customFormat="1" ht="24.9" customHeight="1" x14ac:dyDescent="0.25">
      <c r="A110" s="425" t="s">
        <v>361</v>
      </c>
      <c r="B110" s="97" t="s">
        <v>111</v>
      </c>
      <c r="C110" s="97" t="s">
        <v>713</v>
      </c>
      <c r="D110" s="145" t="s">
        <v>714</v>
      </c>
      <c r="E110" s="230"/>
      <c r="F110" s="414" t="s">
        <v>708</v>
      </c>
      <c r="G110" s="127">
        <v>4.47</v>
      </c>
      <c r="H110" s="303" t="str">
        <f>VLOOKUP($F110,'Leistungswerte UHR Schulen'!$C$6:$F$38,3,FALSE)</f>
        <v>kR</v>
      </c>
      <c r="I110" s="328">
        <f>VLOOKUP(H110,Turnus!$D$9:$E$26,2,FALSE)</f>
        <v>0</v>
      </c>
      <c r="J110" s="127">
        <f t="shared" ref="J110" si="55">+G110*I110</f>
        <v>0</v>
      </c>
      <c r="K110" s="128">
        <f>VLOOKUP($F110,'Leistungswerte UHR Schulen'!$C$6:$F$38,4,FALSE)</f>
        <v>0</v>
      </c>
      <c r="L110" s="496" t="str">
        <f t="shared" si="40"/>
        <v/>
      </c>
      <c r="M110" s="129">
        <f t="shared" ref="M110" si="56">IF(ISERROR(J110/K110),0,J110/K110)</f>
        <v>0</v>
      </c>
      <c r="N110" s="547">
        <f t="shared" si="29"/>
        <v>0</v>
      </c>
      <c r="O110" s="130">
        <f t="shared" ref="O110" si="57">IF(ISERROR(G110/K110*N110),0,G110/K110*N110)</f>
        <v>0</v>
      </c>
      <c r="P110" s="131">
        <f t="shared" si="36"/>
        <v>0</v>
      </c>
      <c r="Q110" s="578">
        <f t="shared" si="39"/>
        <v>1</v>
      </c>
      <c r="R110" s="587"/>
      <c r="S110" s="482"/>
      <c r="T110" s="482"/>
      <c r="U110" s="482"/>
      <c r="V110" s="482"/>
      <c r="W110" s="482"/>
      <c r="X110" s="482"/>
      <c r="Y110" s="482"/>
      <c r="Z110" s="482"/>
      <c r="AA110" s="482"/>
      <c r="AB110" s="482"/>
      <c r="AC110" s="482"/>
      <c r="AD110" s="482"/>
      <c r="AE110" s="482"/>
      <c r="AF110" s="482"/>
      <c r="AG110" s="482"/>
      <c r="AH110" s="482"/>
      <c r="AI110" s="482"/>
      <c r="AJ110" s="482"/>
      <c r="AK110" s="482"/>
      <c r="AL110" s="482"/>
      <c r="AM110" s="482"/>
      <c r="AN110" s="482"/>
      <c r="AO110" s="482"/>
      <c r="AP110" s="482"/>
      <c r="AQ110" s="482"/>
      <c r="AR110" s="482"/>
      <c r="AS110" s="482"/>
      <c r="AT110" s="482"/>
      <c r="AU110" s="482"/>
      <c r="AV110" s="482"/>
      <c r="AW110" s="483"/>
      <c r="AX110" s="484">
        <f t="shared" si="41"/>
        <v>0</v>
      </c>
      <c r="AY110" s="501" t="str">
        <f t="shared" si="37"/>
        <v/>
      </c>
      <c r="AZ110" s="488">
        <f t="shared" si="38"/>
        <v>0</v>
      </c>
    </row>
    <row r="111" spans="1:52" s="57" customFormat="1" ht="24.9" customHeight="1" x14ac:dyDescent="0.25">
      <c r="A111" s="425" t="s">
        <v>361</v>
      </c>
      <c r="B111" s="97" t="s">
        <v>111</v>
      </c>
      <c r="C111" s="97" t="s">
        <v>478</v>
      </c>
      <c r="D111" s="145" t="s">
        <v>380</v>
      </c>
      <c r="E111" s="230" t="s">
        <v>253</v>
      </c>
      <c r="F111" s="414" t="s">
        <v>689</v>
      </c>
      <c r="G111" s="127">
        <v>9.81</v>
      </c>
      <c r="H111" s="303" t="str">
        <f>VLOOKUP($F111,'Leistungswerte UHR Schulen'!$C$6:$F$38,3,FALSE)</f>
        <v>M1</v>
      </c>
      <c r="I111" s="328">
        <f>VLOOKUP(H111,Turnus!$D$9:$E$26,2,FALSE)</f>
        <v>11</v>
      </c>
      <c r="J111" s="127">
        <f t="shared" si="18"/>
        <v>107.91000000000001</v>
      </c>
      <c r="K111" s="128">
        <f>VLOOKUP($F111,'Leistungswerte UHR Schulen'!$C$6:$F$38,4,FALSE)</f>
        <v>0</v>
      </c>
      <c r="L111" s="496" t="str">
        <f t="shared" si="40"/>
        <v/>
      </c>
      <c r="M111" s="129">
        <f t="shared" si="19"/>
        <v>0</v>
      </c>
      <c r="N111" s="547">
        <f t="shared" si="29"/>
        <v>0</v>
      </c>
      <c r="O111" s="130">
        <f t="shared" si="20"/>
        <v>0</v>
      </c>
      <c r="P111" s="131">
        <f t="shared" si="36"/>
        <v>0</v>
      </c>
      <c r="Q111" s="578">
        <f t="shared" si="39"/>
        <v>1</v>
      </c>
      <c r="R111" s="587"/>
      <c r="S111" s="482"/>
      <c r="T111" s="482"/>
      <c r="U111" s="482"/>
      <c r="V111" s="482"/>
      <c r="W111" s="482"/>
      <c r="X111" s="482"/>
      <c r="Y111" s="482"/>
      <c r="Z111" s="482"/>
      <c r="AA111" s="482"/>
      <c r="AB111" s="482"/>
      <c r="AC111" s="482"/>
      <c r="AD111" s="482"/>
      <c r="AE111" s="482"/>
      <c r="AF111" s="482"/>
      <c r="AG111" s="482"/>
      <c r="AH111" s="482"/>
      <c r="AI111" s="482"/>
      <c r="AJ111" s="482"/>
      <c r="AK111" s="482"/>
      <c r="AL111" s="482"/>
      <c r="AM111" s="482"/>
      <c r="AN111" s="482"/>
      <c r="AO111" s="482"/>
      <c r="AP111" s="482"/>
      <c r="AQ111" s="482"/>
      <c r="AR111" s="482"/>
      <c r="AS111" s="482"/>
      <c r="AT111" s="482"/>
      <c r="AU111" s="482"/>
      <c r="AV111" s="482"/>
      <c r="AW111" s="483"/>
      <c r="AX111" s="484">
        <f t="shared" si="41"/>
        <v>0</v>
      </c>
      <c r="AY111" s="501" t="str">
        <f t="shared" si="37"/>
        <v/>
      </c>
      <c r="AZ111" s="488">
        <f t="shared" si="38"/>
        <v>0</v>
      </c>
    </row>
    <row r="112" spans="1:52" s="57" customFormat="1" ht="24.9" customHeight="1" x14ac:dyDescent="0.25">
      <c r="A112" s="425" t="s">
        <v>361</v>
      </c>
      <c r="B112" s="97" t="s">
        <v>111</v>
      </c>
      <c r="C112" s="97" t="s">
        <v>479</v>
      </c>
      <c r="D112" s="414" t="s">
        <v>382</v>
      </c>
      <c r="E112" s="415" t="s">
        <v>171</v>
      </c>
      <c r="F112" s="414" t="s">
        <v>670</v>
      </c>
      <c r="G112" s="127">
        <v>3.17</v>
      </c>
      <c r="H112" s="303" t="str">
        <f>VLOOKUP($F112,'Leistungswerte UHR Schulen'!$C$6:$F$38,3,FALSE)</f>
        <v>W5</v>
      </c>
      <c r="I112" s="328">
        <f>VLOOKUP(H112,Turnus!$D$9:$E$26,2,FALSE)</f>
        <v>188.46428571428572</v>
      </c>
      <c r="J112" s="127">
        <f t="shared" si="18"/>
        <v>597.43178571428575</v>
      </c>
      <c r="K112" s="128">
        <f>VLOOKUP($F112,'Leistungswerte UHR Schulen'!$C$6:$F$38,4,FALSE)</f>
        <v>0</v>
      </c>
      <c r="L112" s="496" t="str">
        <f t="shared" si="40"/>
        <v/>
      </c>
      <c r="M112" s="129">
        <f t="shared" si="19"/>
        <v>0</v>
      </c>
      <c r="N112" s="547">
        <f t="shared" si="29"/>
        <v>0</v>
      </c>
      <c r="O112" s="130">
        <f t="shared" si="20"/>
        <v>0</v>
      </c>
      <c r="P112" s="131">
        <f t="shared" si="36"/>
        <v>0</v>
      </c>
      <c r="Q112" s="578">
        <f t="shared" si="39"/>
        <v>1</v>
      </c>
      <c r="R112" s="587"/>
      <c r="S112" s="482"/>
      <c r="T112" s="482"/>
      <c r="U112" s="482"/>
      <c r="V112" s="482"/>
      <c r="W112" s="482"/>
      <c r="X112" s="482"/>
      <c r="Y112" s="482"/>
      <c r="Z112" s="482"/>
      <c r="AA112" s="482"/>
      <c r="AB112" s="482"/>
      <c r="AC112" s="482"/>
      <c r="AD112" s="482"/>
      <c r="AE112" s="482"/>
      <c r="AF112" s="482"/>
      <c r="AG112" s="482"/>
      <c r="AH112" s="482"/>
      <c r="AI112" s="482"/>
      <c r="AJ112" s="482"/>
      <c r="AK112" s="482"/>
      <c r="AL112" s="482"/>
      <c r="AM112" s="482"/>
      <c r="AN112" s="482"/>
      <c r="AO112" s="482"/>
      <c r="AP112" s="482"/>
      <c r="AQ112" s="482"/>
      <c r="AR112" s="482"/>
      <c r="AS112" s="482"/>
      <c r="AT112" s="482"/>
      <c r="AU112" s="482"/>
      <c r="AV112" s="482"/>
      <c r="AW112" s="483"/>
      <c r="AX112" s="484">
        <f t="shared" si="41"/>
        <v>0</v>
      </c>
      <c r="AY112" s="501" t="str">
        <f t="shared" si="37"/>
        <v/>
      </c>
      <c r="AZ112" s="488">
        <f t="shared" si="38"/>
        <v>0</v>
      </c>
    </row>
    <row r="113" spans="1:52" s="57" customFormat="1" ht="24.9" customHeight="1" x14ac:dyDescent="0.25">
      <c r="A113" s="425" t="s">
        <v>361</v>
      </c>
      <c r="B113" s="97" t="s">
        <v>111</v>
      </c>
      <c r="C113" s="97" t="s">
        <v>480</v>
      </c>
      <c r="D113" s="145" t="s">
        <v>270</v>
      </c>
      <c r="E113" s="415" t="s">
        <v>171</v>
      </c>
      <c r="F113" s="414" t="s">
        <v>670</v>
      </c>
      <c r="G113" s="127">
        <v>18.5</v>
      </c>
      <c r="H113" s="303" t="str">
        <f>VLOOKUP($F113,'Leistungswerte UHR Schulen'!$C$6:$F$38,3,FALSE)</f>
        <v>W5</v>
      </c>
      <c r="I113" s="328">
        <f>VLOOKUP(H113,Turnus!$D$9:$E$26,2,FALSE)</f>
        <v>188.46428571428572</v>
      </c>
      <c r="J113" s="127">
        <f t="shared" si="18"/>
        <v>3486.5892857142858</v>
      </c>
      <c r="K113" s="128">
        <f>VLOOKUP($F113,'Leistungswerte UHR Schulen'!$C$6:$F$38,4,FALSE)</f>
        <v>0</v>
      </c>
      <c r="L113" s="496" t="str">
        <f t="shared" si="40"/>
        <v/>
      </c>
      <c r="M113" s="129">
        <f t="shared" si="19"/>
        <v>0</v>
      </c>
      <c r="N113" s="547">
        <f t="shared" si="29"/>
        <v>0</v>
      </c>
      <c r="O113" s="130">
        <f t="shared" si="20"/>
        <v>0</v>
      </c>
      <c r="P113" s="131">
        <f t="shared" si="36"/>
        <v>0</v>
      </c>
      <c r="Q113" s="578">
        <f t="shared" si="39"/>
        <v>1</v>
      </c>
      <c r="R113" s="587"/>
      <c r="S113" s="482"/>
      <c r="T113" s="482"/>
      <c r="U113" s="482"/>
      <c r="V113" s="482"/>
      <c r="W113" s="482"/>
      <c r="X113" s="482"/>
      <c r="Y113" s="482"/>
      <c r="Z113" s="482"/>
      <c r="AA113" s="482"/>
      <c r="AB113" s="482"/>
      <c r="AC113" s="482"/>
      <c r="AD113" s="482"/>
      <c r="AE113" s="482"/>
      <c r="AF113" s="482"/>
      <c r="AG113" s="482"/>
      <c r="AH113" s="482"/>
      <c r="AI113" s="482"/>
      <c r="AJ113" s="482"/>
      <c r="AK113" s="482"/>
      <c r="AL113" s="482"/>
      <c r="AM113" s="482"/>
      <c r="AN113" s="482"/>
      <c r="AO113" s="482"/>
      <c r="AP113" s="482"/>
      <c r="AQ113" s="482"/>
      <c r="AR113" s="482"/>
      <c r="AS113" s="482"/>
      <c r="AT113" s="482"/>
      <c r="AU113" s="482"/>
      <c r="AV113" s="482"/>
      <c r="AW113" s="483"/>
      <c r="AX113" s="484">
        <f t="shared" si="41"/>
        <v>0</v>
      </c>
      <c r="AY113" s="501" t="str">
        <f t="shared" si="37"/>
        <v/>
      </c>
      <c r="AZ113" s="488">
        <f t="shared" si="38"/>
        <v>0</v>
      </c>
    </row>
    <row r="114" spans="1:52" s="57" customFormat="1" ht="24.9" customHeight="1" x14ac:dyDescent="0.25">
      <c r="A114" s="425" t="s">
        <v>361</v>
      </c>
      <c r="B114" s="97" t="s">
        <v>111</v>
      </c>
      <c r="C114" s="97" t="s">
        <v>481</v>
      </c>
      <c r="D114" s="414" t="s">
        <v>385</v>
      </c>
      <c r="E114" s="415" t="s">
        <v>171</v>
      </c>
      <c r="F114" s="414" t="s">
        <v>670</v>
      </c>
      <c r="G114" s="127">
        <v>18.45</v>
      </c>
      <c r="H114" s="303" t="str">
        <f>VLOOKUP($F114,'Leistungswerte UHR Schulen'!$C$6:$F$38,3,FALSE)</f>
        <v>W5</v>
      </c>
      <c r="I114" s="328">
        <f>VLOOKUP(H114,Turnus!$D$9:$E$26,2,FALSE)</f>
        <v>188.46428571428572</v>
      </c>
      <c r="J114" s="127">
        <f t="shared" si="18"/>
        <v>3477.1660714285713</v>
      </c>
      <c r="K114" s="128">
        <f>VLOOKUP($F114,'Leistungswerte UHR Schulen'!$C$6:$F$38,4,FALSE)</f>
        <v>0</v>
      </c>
      <c r="L114" s="496" t="str">
        <f t="shared" si="40"/>
        <v/>
      </c>
      <c r="M114" s="129">
        <f t="shared" si="19"/>
        <v>0</v>
      </c>
      <c r="N114" s="547">
        <f t="shared" si="29"/>
        <v>0</v>
      </c>
      <c r="O114" s="130">
        <f t="shared" si="20"/>
        <v>0</v>
      </c>
      <c r="P114" s="131">
        <f t="shared" si="36"/>
        <v>0</v>
      </c>
      <c r="Q114" s="578">
        <f t="shared" si="39"/>
        <v>1</v>
      </c>
      <c r="R114" s="587"/>
      <c r="S114" s="482"/>
      <c r="T114" s="482"/>
      <c r="U114" s="482"/>
      <c r="V114" s="482"/>
      <c r="W114" s="482"/>
      <c r="X114" s="482"/>
      <c r="Y114" s="482"/>
      <c r="Z114" s="482"/>
      <c r="AA114" s="482"/>
      <c r="AB114" s="482"/>
      <c r="AC114" s="482"/>
      <c r="AD114" s="482"/>
      <c r="AE114" s="482"/>
      <c r="AF114" s="482"/>
      <c r="AG114" s="482"/>
      <c r="AH114" s="482"/>
      <c r="AI114" s="482"/>
      <c r="AJ114" s="482"/>
      <c r="AK114" s="482"/>
      <c r="AL114" s="482"/>
      <c r="AM114" s="482"/>
      <c r="AN114" s="482"/>
      <c r="AO114" s="482"/>
      <c r="AP114" s="482"/>
      <c r="AQ114" s="482"/>
      <c r="AR114" s="482"/>
      <c r="AS114" s="482"/>
      <c r="AT114" s="482"/>
      <c r="AU114" s="482"/>
      <c r="AV114" s="482"/>
      <c r="AW114" s="483"/>
      <c r="AX114" s="484">
        <f t="shared" si="41"/>
        <v>0</v>
      </c>
      <c r="AY114" s="501" t="str">
        <f t="shared" si="37"/>
        <v/>
      </c>
      <c r="AZ114" s="488">
        <f t="shared" si="38"/>
        <v>0</v>
      </c>
    </row>
    <row r="115" spans="1:52" s="57" customFormat="1" ht="24.9" customHeight="1" x14ac:dyDescent="0.25">
      <c r="A115" s="425" t="s">
        <v>361</v>
      </c>
      <c r="B115" s="97" t="s">
        <v>111</v>
      </c>
      <c r="C115" s="97" t="s">
        <v>482</v>
      </c>
      <c r="D115" s="145" t="s">
        <v>387</v>
      </c>
      <c r="E115" s="415" t="s">
        <v>171</v>
      </c>
      <c r="F115" s="414" t="s">
        <v>670</v>
      </c>
      <c r="G115" s="127">
        <v>6.53</v>
      </c>
      <c r="H115" s="303" t="str">
        <f>VLOOKUP($F115,'Leistungswerte UHR Schulen'!$C$6:$F$38,3,FALSE)</f>
        <v>W5</v>
      </c>
      <c r="I115" s="328">
        <f>VLOOKUP(H115,Turnus!$D$9:$E$26,2,FALSE)</f>
        <v>188.46428571428572</v>
      </c>
      <c r="J115" s="127">
        <f t="shared" si="18"/>
        <v>1230.6717857142858</v>
      </c>
      <c r="K115" s="128">
        <f>VLOOKUP($F115,'Leistungswerte UHR Schulen'!$C$6:$F$38,4,FALSE)</f>
        <v>0</v>
      </c>
      <c r="L115" s="496" t="str">
        <f t="shared" si="40"/>
        <v/>
      </c>
      <c r="M115" s="129">
        <f t="shared" si="19"/>
        <v>0</v>
      </c>
      <c r="N115" s="547">
        <f t="shared" si="29"/>
        <v>0</v>
      </c>
      <c r="O115" s="130">
        <f t="shared" si="20"/>
        <v>0</v>
      </c>
      <c r="P115" s="131">
        <f t="shared" si="36"/>
        <v>0</v>
      </c>
      <c r="Q115" s="578">
        <f t="shared" si="39"/>
        <v>1</v>
      </c>
      <c r="R115" s="587"/>
      <c r="S115" s="482"/>
      <c r="T115" s="482"/>
      <c r="U115" s="482"/>
      <c r="V115" s="482"/>
      <c r="W115" s="482"/>
      <c r="X115" s="482"/>
      <c r="Y115" s="482"/>
      <c r="Z115" s="482"/>
      <c r="AA115" s="482"/>
      <c r="AB115" s="482"/>
      <c r="AC115" s="482"/>
      <c r="AD115" s="482"/>
      <c r="AE115" s="482"/>
      <c r="AF115" s="482"/>
      <c r="AG115" s="482"/>
      <c r="AH115" s="482"/>
      <c r="AI115" s="482"/>
      <c r="AJ115" s="482"/>
      <c r="AK115" s="482"/>
      <c r="AL115" s="482"/>
      <c r="AM115" s="482"/>
      <c r="AN115" s="482"/>
      <c r="AO115" s="482"/>
      <c r="AP115" s="482"/>
      <c r="AQ115" s="482"/>
      <c r="AR115" s="482"/>
      <c r="AS115" s="482"/>
      <c r="AT115" s="482"/>
      <c r="AU115" s="482"/>
      <c r="AV115" s="482"/>
      <c r="AW115" s="483"/>
      <c r="AX115" s="484">
        <f t="shared" si="41"/>
        <v>0</v>
      </c>
      <c r="AY115" s="501" t="str">
        <f t="shared" si="37"/>
        <v/>
      </c>
      <c r="AZ115" s="488">
        <f t="shared" si="38"/>
        <v>0</v>
      </c>
    </row>
    <row r="116" spans="1:52" s="57" customFormat="1" ht="24.9" customHeight="1" x14ac:dyDescent="0.25">
      <c r="A116" s="425" t="s">
        <v>361</v>
      </c>
      <c r="B116" s="97" t="s">
        <v>111</v>
      </c>
      <c r="C116" s="97" t="s">
        <v>483</v>
      </c>
      <c r="D116" s="145" t="s">
        <v>252</v>
      </c>
      <c r="E116" s="415" t="s">
        <v>253</v>
      </c>
      <c r="F116" s="414" t="s">
        <v>901</v>
      </c>
      <c r="G116" s="127">
        <v>11.66</v>
      </c>
      <c r="H116" s="303" t="str">
        <f>VLOOKUP($F116,'Leistungswerte UHR Schulen'!$C$6:$F$38,3,FALSE)</f>
        <v>W3</v>
      </c>
      <c r="I116" s="328">
        <f>VLOOKUP(H116,Turnus!$D$9:$E$26,2,FALSE)</f>
        <v>114.53571428571426</v>
      </c>
      <c r="J116" s="127">
        <f t="shared" si="18"/>
        <v>1335.4864285714284</v>
      </c>
      <c r="K116" s="128">
        <f>VLOOKUP($F116,'Leistungswerte UHR Schulen'!$C$6:$F$38,4,FALSE)</f>
        <v>0</v>
      </c>
      <c r="L116" s="496" t="str">
        <f t="shared" si="40"/>
        <v/>
      </c>
      <c r="M116" s="129">
        <f t="shared" si="19"/>
        <v>0</v>
      </c>
      <c r="N116" s="547">
        <f t="shared" si="29"/>
        <v>0</v>
      </c>
      <c r="O116" s="130">
        <f t="shared" si="20"/>
        <v>0</v>
      </c>
      <c r="P116" s="131">
        <f t="shared" si="36"/>
        <v>0</v>
      </c>
      <c r="Q116" s="578">
        <f t="shared" si="39"/>
        <v>1</v>
      </c>
      <c r="R116" s="587"/>
      <c r="S116" s="482"/>
      <c r="T116" s="482"/>
      <c r="U116" s="482"/>
      <c r="V116" s="482"/>
      <c r="W116" s="482"/>
      <c r="X116" s="482"/>
      <c r="Y116" s="482"/>
      <c r="Z116" s="482"/>
      <c r="AA116" s="482"/>
      <c r="AB116" s="482"/>
      <c r="AC116" s="482"/>
      <c r="AD116" s="482"/>
      <c r="AE116" s="482"/>
      <c r="AF116" s="482"/>
      <c r="AG116" s="482"/>
      <c r="AH116" s="482"/>
      <c r="AI116" s="482"/>
      <c r="AJ116" s="482"/>
      <c r="AK116" s="482"/>
      <c r="AL116" s="482"/>
      <c r="AM116" s="482"/>
      <c r="AN116" s="482"/>
      <c r="AO116" s="482"/>
      <c r="AP116" s="482"/>
      <c r="AQ116" s="482"/>
      <c r="AR116" s="482"/>
      <c r="AS116" s="482"/>
      <c r="AT116" s="482"/>
      <c r="AU116" s="482"/>
      <c r="AV116" s="482"/>
      <c r="AW116" s="483"/>
      <c r="AX116" s="484">
        <f t="shared" si="41"/>
        <v>0</v>
      </c>
      <c r="AY116" s="501" t="str">
        <f t="shared" si="37"/>
        <v/>
      </c>
      <c r="AZ116" s="488">
        <f t="shared" si="38"/>
        <v>0</v>
      </c>
    </row>
    <row r="117" spans="1:52" s="57" customFormat="1" ht="24.9" customHeight="1" x14ac:dyDescent="0.25">
      <c r="A117" s="425" t="s">
        <v>361</v>
      </c>
      <c r="B117" s="97" t="s">
        <v>111</v>
      </c>
      <c r="C117" s="97" t="s">
        <v>484</v>
      </c>
      <c r="D117" s="414" t="s">
        <v>485</v>
      </c>
      <c r="E117" s="415" t="s">
        <v>253</v>
      </c>
      <c r="F117" s="414" t="s">
        <v>890</v>
      </c>
      <c r="G117" s="127">
        <v>69.63</v>
      </c>
      <c r="H117" s="303" t="str">
        <f>VLOOKUP($F117,'Leistungswerte UHR Schulen'!$C$6:$F$38,3,FALSE)</f>
        <v>W3</v>
      </c>
      <c r="I117" s="328">
        <f>VLOOKUP(H117,Turnus!$D$9:$E$26,2,FALSE)</f>
        <v>114.53571428571426</v>
      </c>
      <c r="J117" s="127">
        <f t="shared" si="18"/>
        <v>7975.1217857142838</v>
      </c>
      <c r="K117" s="128">
        <f>VLOOKUP($F117,'Leistungswerte UHR Schulen'!$C$6:$F$38,4,FALSE)</f>
        <v>0</v>
      </c>
      <c r="L117" s="496" t="str">
        <f t="shared" si="40"/>
        <v/>
      </c>
      <c r="M117" s="129">
        <f t="shared" si="19"/>
        <v>0</v>
      </c>
      <c r="N117" s="547">
        <f t="shared" si="29"/>
        <v>0</v>
      </c>
      <c r="O117" s="130">
        <f t="shared" si="20"/>
        <v>0</v>
      </c>
      <c r="P117" s="131">
        <f t="shared" si="36"/>
        <v>0</v>
      </c>
      <c r="Q117" s="578">
        <f t="shared" si="39"/>
        <v>1</v>
      </c>
      <c r="R117" s="587"/>
      <c r="S117" s="482"/>
      <c r="T117" s="482"/>
      <c r="U117" s="482"/>
      <c r="V117" s="482"/>
      <c r="W117" s="482"/>
      <c r="X117" s="482"/>
      <c r="Y117" s="482"/>
      <c r="Z117" s="482"/>
      <c r="AA117" s="482"/>
      <c r="AB117" s="482"/>
      <c r="AC117" s="482"/>
      <c r="AD117" s="482"/>
      <c r="AE117" s="482"/>
      <c r="AF117" s="482"/>
      <c r="AG117" s="482"/>
      <c r="AH117" s="482"/>
      <c r="AI117" s="482"/>
      <c r="AJ117" s="482"/>
      <c r="AK117" s="482"/>
      <c r="AL117" s="482"/>
      <c r="AM117" s="482"/>
      <c r="AN117" s="482"/>
      <c r="AO117" s="482"/>
      <c r="AP117" s="482"/>
      <c r="AQ117" s="482"/>
      <c r="AR117" s="482"/>
      <c r="AS117" s="482"/>
      <c r="AT117" s="482"/>
      <c r="AU117" s="482"/>
      <c r="AV117" s="482"/>
      <c r="AW117" s="483"/>
      <c r="AX117" s="484">
        <f t="shared" si="41"/>
        <v>0</v>
      </c>
      <c r="AY117" s="501" t="str">
        <f t="shared" si="37"/>
        <v/>
      </c>
      <c r="AZ117" s="488">
        <f t="shared" si="38"/>
        <v>0</v>
      </c>
    </row>
    <row r="118" spans="1:52" s="57" customFormat="1" ht="24.9" customHeight="1" x14ac:dyDescent="0.25">
      <c r="A118" s="425" t="s">
        <v>361</v>
      </c>
      <c r="B118" s="97" t="s">
        <v>111</v>
      </c>
      <c r="C118" s="97" t="s">
        <v>486</v>
      </c>
      <c r="D118" s="145" t="s">
        <v>259</v>
      </c>
      <c r="E118" s="230" t="s">
        <v>253</v>
      </c>
      <c r="F118" s="414" t="s">
        <v>897</v>
      </c>
      <c r="G118" s="127">
        <v>27.22</v>
      </c>
      <c r="H118" s="303" t="str">
        <f>VLOOKUP($F118,'Leistungswerte UHR Schulen'!$C$6:$F$38,3,FALSE)</f>
        <v>W3</v>
      </c>
      <c r="I118" s="328">
        <f>VLOOKUP(H118,Turnus!$D$9:$E$26,2,FALSE)</f>
        <v>114.53571428571426</v>
      </c>
      <c r="J118" s="127">
        <f t="shared" si="18"/>
        <v>3117.662142857142</v>
      </c>
      <c r="K118" s="128">
        <f>VLOOKUP($F118,'Leistungswerte UHR Schulen'!$C$6:$F$38,4,FALSE)</f>
        <v>0</v>
      </c>
      <c r="L118" s="496" t="str">
        <f t="shared" si="40"/>
        <v/>
      </c>
      <c r="M118" s="129">
        <f t="shared" si="19"/>
        <v>0</v>
      </c>
      <c r="N118" s="547">
        <f t="shared" si="29"/>
        <v>0</v>
      </c>
      <c r="O118" s="130">
        <f t="shared" si="20"/>
        <v>0</v>
      </c>
      <c r="P118" s="131">
        <f t="shared" si="36"/>
        <v>0</v>
      </c>
      <c r="Q118" s="578">
        <f t="shared" si="39"/>
        <v>1</v>
      </c>
      <c r="R118" s="587"/>
      <c r="S118" s="482"/>
      <c r="T118" s="482"/>
      <c r="U118" s="482"/>
      <c r="V118" s="482"/>
      <c r="W118" s="482"/>
      <c r="X118" s="482"/>
      <c r="Y118" s="482"/>
      <c r="Z118" s="482"/>
      <c r="AA118" s="482"/>
      <c r="AB118" s="482"/>
      <c r="AC118" s="482"/>
      <c r="AD118" s="482"/>
      <c r="AE118" s="482"/>
      <c r="AF118" s="482"/>
      <c r="AG118" s="482"/>
      <c r="AH118" s="482"/>
      <c r="AI118" s="482"/>
      <c r="AJ118" s="482"/>
      <c r="AK118" s="482"/>
      <c r="AL118" s="482"/>
      <c r="AM118" s="482"/>
      <c r="AN118" s="482"/>
      <c r="AO118" s="482"/>
      <c r="AP118" s="482"/>
      <c r="AQ118" s="482"/>
      <c r="AR118" s="482"/>
      <c r="AS118" s="482"/>
      <c r="AT118" s="482"/>
      <c r="AU118" s="482"/>
      <c r="AV118" s="482"/>
      <c r="AW118" s="483"/>
      <c r="AX118" s="484">
        <f t="shared" si="41"/>
        <v>0</v>
      </c>
      <c r="AY118" s="501" t="str">
        <f t="shared" si="37"/>
        <v/>
      </c>
      <c r="AZ118" s="488">
        <f t="shared" si="38"/>
        <v>0</v>
      </c>
    </row>
    <row r="119" spans="1:52" s="57" customFormat="1" ht="24.9" customHeight="1" x14ac:dyDescent="0.25">
      <c r="A119" s="425" t="s">
        <v>361</v>
      </c>
      <c r="B119" s="97" t="s">
        <v>111</v>
      </c>
      <c r="C119" s="97" t="s">
        <v>487</v>
      </c>
      <c r="D119" s="145" t="s">
        <v>488</v>
      </c>
      <c r="E119" s="230" t="s">
        <v>253</v>
      </c>
      <c r="F119" s="414" t="s">
        <v>890</v>
      </c>
      <c r="G119" s="127">
        <v>69.63</v>
      </c>
      <c r="H119" s="303" t="str">
        <f>VLOOKUP($F119,'Leistungswerte UHR Schulen'!$C$6:$F$38,3,FALSE)</f>
        <v>W3</v>
      </c>
      <c r="I119" s="328">
        <f>VLOOKUP(H119,Turnus!$D$9:$E$26,2,FALSE)</f>
        <v>114.53571428571426</v>
      </c>
      <c r="J119" s="127">
        <f t="shared" si="18"/>
        <v>7975.1217857142838</v>
      </c>
      <c r="K119" s="128">
        <f>VLOOKUP($F119,'Leistungswerte UHR Schulen'!$C$6:$F$38,4,FALSE)</f>
        <v>0</v>
      </c>
      <c r="L119" s="496" t="str">
        <f t="shared" si="40"/>
        <v/>
      </c>
      <c r="M119" s="129">
        <f t="shared" si="19"/>
        <v>0</v>
      </c>
      <c r="N119" s="547">
        <f t="shared" si="29"/>
        <v>0</v>
      </c>
      <c r="O119" s="130">
        <f t="shared" si="20"/>
        <v>0</v>
      </c>
      <c r="P119" s="131">
        <f t="shared" si="36"/>
        <v>0</v>
      </c>
      <c r="Q119" s="578">
        <f t="shared" si="39"/>
        <v>1</v>
      </c>
      <c r="R119" s="587"/>
      <c r="S119" s="482"/>
      <c r="T119" s="482"/>
      <c r="U119" s="482"/>
      <c r="V119" s="482"/>
      <c r="W119" s="482"/>
      <c r="X119" s="482"/>
      <c r="Y119" s="482"/>
      <c r="Z119" s="482"/>
      <c r="AA119" s="482"/>
      <c r="AB119" s="482"/>
      <c r="AC119" s="482"/>
      <c r="AD119" s="482"/>
      <c r="AE119" s="482"/>
      <c r="AF119" s="482"/>
      <c r="AG119" s="482"/>
      <c r="AH119" s="482"/>
      <c r="AI119" s="482"/>
      <c r="AJ119" s="482"/>
      <c r="AK119" s="482"/>
      <c r="AL119" s="482"/>
      <c r="AM119" s="482"/>
      <c r="AN119" s="482"/>
      <c r="AO119" s="482"/>
      <c r="AP119" s="482"/>
      <c r="AQ119" s="482"/>
      <c r="AR119" s="482"/>
      <c r="AS119" s="482"/>
      <c r="AT119" s="482"/>
      <c r="AU119" s="482"/>
      <c r="AV119" s="482"/>
      <c r="AW119" s="483"/>
      <c r="AX119" s="484">
        <f t="shared" si="41"/>
        <v>0</v>
      </c>
      <c r="AY119" s="501" t="str">
        <f t="shared" si="37"/>
        <v/>
      </c>
      <c r="AZ119" s="488">
        <f t="shared" si="38"/>
        <v>0</v>
      </c>
    </row>
    <row r="120" spans="1:52" s="57" customFormat="1" ht="24.9" customHeight="1" x14ac:dyDescent="0.25">
      <c r="A120" s="425" t="s">
        <v>361</v>
      </c>
      <c r="B120" s="97" t="s">
        <v>111</v>
      </c>
      <c r="C120" s="97" t="s">
        <v>489</v>
      </c>
      <c r="D120" s="145" t="s">
        <v>252</v>
      </c>
      <c r="E120" s="230" t="s">
        <v>253</v>
      </c>
      <c r="F120" s="414" t="s">
        <v>901</v>
      </c>
      <c r="G120" s="127">
        <v>11.66</v>
      </c>
      <c r="H120" s="303" t="str">
        <f>VLOOKUP($F120,'Leistungswerte UHR Schulen'!$C$6:$F$38,3,FALSE)</f>
        <v>W3</v>
      </c>
      <c r="I120" s="328">
        <f>VLOOKUP(H120,Turnus!$D$9:$E$26,2,FALSE)</f>
        <v>114.53571428571426</v>
      </c>
      <c r="J120" s="127">
        <f t="shared" si="18"/>
        <v>1335.4864285714284</v>
      </c>
      <c r="K120" s="128">
        <f>VLOOKUP($F120,'Leistungswerte UHR Schulen'!$C$6:$F$38,4,FALSE)</f>
        <v>0</v>
      </c>
      <c r="L120" s="496" t="str">
        <f t="shared" si="40"/>
        <v/>
      </c>
      <c r="M120" s="129">
        <f t="shared" si="19"/>
        <v>0</v>
      </c>
      <c r="N120" s="547">
        <f t="shared" si="29"/>
        <v>0</v>
      </c>
      <c r="O120" s="130">
        <f t="shared" si="20"/>
        <v>0</v>
      </c>
      <c r="P120" s="131">
        <f t="shared" si="36"/>
        <v>0</v>
      </c>
      <c r="Q120" s="578">
        <f t="shared" si="39"/>
        <v>1</v>
      </c>
      <c r="R120" s="587"/>
      <c r="S120" s="482"/>
      <c r="T120" s="482"/>
      <c r="U120" s="482"/>
      <c r="V120" s="482"/>
      <c r="W120" s="482"/>
      <c r="X120" s="482"/>
      <c r="Y120" s="482"/>
      <c r="Z120" s="482"/>
      <c r="AA120" s="482"/>
      <c r="AB120" s="482"/>
      <c r="AC120" s="482"/>
      <c r="AD120" s="482"/>
      <c r="AE120" s="482"/>
      <c r="AF120" s="482"/>
      <c r="AG120" s="482"/>
      <c r="AH120" s="482"/>
      <c r="AI120" s="482"/>
      <c r="AJ120" s="482"/>
      <c r="AK120" s="482"/>
      <c r="AL120" s="482"/>
      <c r="AM120" s="482"/>
      <c r="AN120" s="482"/>
      <c r="AO120" s="482"/>
      <c r="AP120" s="482"/>
      <c r="AQ120" s="482"/>
      <c r="AR120" s="482"/>
      <c r="AS120" s="482"/>
      <c r="AT120" s="482"/>
      <c r="AU120" s="482"/>
      <c r="AV120" s="482"/>
      <c r="AW120" s="483"/>
      <c r="AX120" s="484">
        <f t="shared" si="41"/>
        <v>0</v>
      </c>
      <c r="AY120" s="501" t="str">
        <f t="shared" si="37"/>
        <v/>
      </c>
      <c r="AZ120" s="488">
        <f t="shared" si="38"/>
        <v>0</v>
      </c>
    </row>
    <row r="121" spans="1:52" s="57" customFormat="1" ht="24.9" customHeight="1" x14ac:dyDescent="0.25">
      <c r="A121" s="425" t="s">
        <v>361</v>
      </c>
      <c r="B121" s="97" t="s">
        <v>111</v>
      </c>
      <c r="C121" s="97" t="s">
        <v>542</v>
      </c>
      <c r="D121" s="145" t="s">
        <v>266</v>
      </c>
      <c r="E121" s="230" t="s">
        <v>619</v>
      </c>
      <c r="F121" s="414" t="s">
        <v>674</v>
      </c>
      <c r="G121" s="127">
        <v>8.7899999999999991</v>
      </c>
      <c r="H121" s="303" t="str">
        <f>VLOOKUP($F121,'Leistungswerte UHR Schulen'!$C$6:$F$38,3,FALSE)</f>
        <v>W5</v>
      </c>
      <c r="I121" s="328">
        <f>VLOOKUP(H121,Turnus!$D$9:$E$26,2,FALSE)</f>
        <v>188.46428571428572</v>
      </c>
      <c r="J121" s="127">
        <f>+G121*I121</f>
        <v>1656.6010714285712</v>
      </c>
      <c r="K121" s="128">
        <f>VLOOKUP($F121,'Leistungswerte UHR Schulen'!$C$6:$F$38,4,FALSE)</f>
        <v>0</v>
      </c>
      <c r="L121" s="496" t="str">
        <f t="shared" si="40"/>
        <v/>
      </c>
      <c r="M121" s="129">
        <f>IF(ISERROR(J121/K121),0,J121/K121)</f>
        <v>0</v>
      </c>
      <c r="N121" s="547">
        <f t="shared" si="54"/>
        <v>0</v>
      </c>
      <c r="O121" s="130">
        <f>IF(ISERROR(G121/K121*N121),0,G121/K121*N121)</f>
        <v>0</v>
      </c>
      <c r="P121" s="131">
        <f t="shared" si="36"/>
        <v>0</v>
      </c>
      <c r="Q121" s="578">
        <f t="shared" si="39"/>
        <v>1</v>
      </c>
      <c r="R121" s="587"/>
      <c r="S121" s="482"/>
      <c r="T121" s="482"/>
      <c r="U121" s="482"/>
      <c r="V121" s="482"/>
      <c r="W121" s="482"/>
      <c r="X121" s="482"/>
      <c r="Y121" s="482"/>
      <c r="Z121" s="482"/>
      <c r="AA121" s="482"/>
      <c r="AB121" s="482"/>
      <c r="AC121" s="482"/>
      <c r="AD121" s="482"/>
      <c r="AE121" s="482"/>
      <c r="AF121" s="482"/>
      <c r="AG121" s="482"/>
      <c r="AH121" s="482"/>
      <c r="AI121" s="482"/>
      <c r="AJ121" s="482"/>
      <c r="AK121" s="482"/>
      <c r="AL121" s="482"/>
      <c r="AM121" s="482"/>
      <c r="AN121" s="482"/>
      <c r="AO121" s="482"/>
      <c r="AP121" s="482"/>
      <c r="AQ121" s="482"/>
      <c r="AR121" s="482"/>
      <c r="AS121" s="482"/>
      <c r="AT121" s="482"/>
      <c r="AU121" s="482"/>
      <c r="AV121" s="482"/>
      <c r="AW121" s="483"/>
      <c r="AX121" s="484">
        <f t="shared" si="41"/>
        <v>0</v>
      </c>
      <c r="AY121" s="501" t="str">
        <f t="shared" si="37"/>
        <v/>
      </c>
      <c r="AZ121" s="488">
        <f t="shared" si="38"/>
        <v>0</v>
      </c>
    </row>
    <row r="122" spans="1:52" s="57" customFormat="1" ht="24.9" customHeight="1" x14ac:dyDescent="0.25">
      <c r="A122" s="425" t="s">
        <v>361</v>
      </c>
      <c r="B122" s="97" t="s">
        <v>111</v>
      </c>
      <c r="C122" s="97" t="s">
        <v>715</v>
      </c>
      <c r="D122" s="145" t="s">
        <v>165</v>
      </c>
      <c r="E122" s="230" t="s">
        <v>253</v>
      </c>
      <c r="F122" s="414" t="s">
        <v>689</v>
      </c>
      <c r="G122" s="127">
        <v>7.18</v>
      </c>
      <c r="H122" s="303" t="str">
        <f>VLOOKUP($F122,'Leistungswerte UHR Schulen'!$C$6:$F$38,3,FALSE)</f>
        <v>M1</v>
      </c>
      <c r="I122" s="328">
        <f>VLOOKUP(H122,Turnus!$D$9:$E$26,2,FALSE)</f>
        <v>11</v>
      </c>
      <c r="J122" s="127">
        <f t="shared" ref="J122" si="58">+G122*I122</f>
        <v>78.97999999999999</v>
      </c>
      <c r="K122" s="128">
        <f>VLOOKUP($F122,'Leistungswerte UHR Schulen'!$C$6:$F$38,4,FALSE)</f>
        <v>0</v>
      </c>
      <c r="L122" s="496" t="str">
        <f t="shared" si="40"/>
        <v/>
      </c>
      <c r="M122" s="129">
        <f t="shared" ref="M122" si="59">IF(ISERROR(J122/K122),0,J122/K122)</f>
        <v>0</v>
      </c>
      <c r="N122" s="547">
        <f t="shared" si="29"/>
        <v>0</v>
      </c>
      <c r="O122" s="130">
        <f t="shared" ref="O122" si="60">IF(ISERROR(G122/K122*N122),0,G122/K122*N122)</f>
        <v>0</v>
      </c>
      <c r="P122" s="131">
        <f t="shared" si="36"/>
        <v>0</v>
      </c>
      <c r="Q122" s="578">
        <f t="shared" si="39"/>
        <v>1</v>
      </c>
      <c r="R122" s="587"/>
      <c r="S122" s="482"/>
      <c r="T122" s="482"/>
      <c r="U122" s="482"/>
      <c r="V122" s="482"/>
      <c r="W122" s="482"/>
      <c r="X122" s="482"/>
      <c r="Y122" s="482"/>
      <c r="Z122" s="482"/>
      <c r="AA122" s="482"/>
      <c r="AB122" s="482"/>
      <c r="AC122" s="482"/>
      <c r="AD122" s="482"/>
      <c r="AE122" s="482"/>
      <c r="AF122" s="482"/>
      <c r="AG122" s="482"/>
      <c r="AH122" s="482"/>
      <c r="AI122" s="482"/>
      <c r="AJ122" s="482"/>
      <c r="AK122" s="482"/>
      <c r="AL122" s="482"/>
      <c r="AM122" s="482"/>
      <c r="AN122" s="482"/>
      <c r="AO122" s="482"/>
      <c r="AP122" s="482"/>
      <c r="AQ122" s="482"/>
      <c r="AR122" s="482"/>
      <c r="AS122" s="482"/>
      <c r="AT122" s="482"/>
      <c r="AU122" s="482"/>
      <c r="AV122" s="482"/>
      <c r="AW122" s="483"/>
      <c r="AX122" s="484">
        <f t="shared" si="41"/>
        <v>0</v>
      </c>
      <c r="AY122" s="501" t="str">
        <f t="shared" si="37"/>
        <v/>
      </c>
      <c r="AZ122" s="488">
        <f t="shared" si="38"/>
        <v>0</v>
      </c>
    </row>
    <row r="123" spans="1:52" s="57" customFormat="1" ht="24.9" customHeight="1" x14ac:dyDescent="0.25">
      <c r="A123" s="425" t="s">
        <v>361</v>
      </c>
      <c r="B123" s="97" t="s">
        <v>111</v>
      </c>
      <c r="C123" s="97" t="s">
        <v>533</v>
      </c>
      <c r="D123" s="145" t="s">
        <v>102</v>
      </c>
      <c r="E123" s="230" t="s">
        <v>253</v>
      </c>
      <c r="F123" s="414" t="s">
        <v>676</v>
      </c>
      <c r="G123" s="127">
        <v>70.260000000000005</v>
      </c>
      <c r="H123" s="303" t="str">
        <f>VLOOKUP($F123,'Leistungswerte UHR Schulen'!$C$6:$F$38,3,FALSE)</f>
        <v>W5</v>
      </c>
      <c r="I123" s="328">
        <f>VLOOKUP(H123,Turnus!$D$9:$E$26,2,FALSE)</f>
        <v>188.46428571428572</v>
      </c>
      <c r="J123" s="127">
        <f>+G123*I123</f>
        <v>13241.500714285716</v>
      </c>
      <c r="K123" s="128">
        <f>VLOOKUP($F123,'Leistungswerte UHR Schulen'!$C$6:$F$38,4,FALSE)</f>
        <v>0</v>
      </c>
      <c r="L123" s="496" t="str">
        <f t="shared" si="40"/>
        <v/>
      </c>
      <c r="M123" s="129">
        <f>IF(ISERROR(J123/K123),0,J123/K123)</f>
        <v>0</v>
      </c>
      <c r="N123" s="547">
        <f t="shared" si="54"/>
        <v>0</v>
      </c>
      <c r="O123" s="130">
        <f>IF(ISERROR(G123/K123*N123),0,G123/K123*N123)</f>
        <v>0</v>
      </c>
      <c r="P123" s="131">
        <f t="shared" si="36"/>
        <v>0</v>
      </c>
      <c r="Q123" s="578">
        <f t="shared" si="39"/>
        <v>1</v>
      </c>
      <c r="R123" s="587"/>
      <c r="S123" s="482"/>
      <c r="T123" s="482"/>
      <c r="U123" s="482"/>
      <c r="V123" s="482"/>
      <c r="W123" s="482"/>
      <c r="X123" s="482"/>
      <c r="Y123" s="482"/>
      <c r="Z123" s="482"/>
      <c r="AA123" s="482"/>
      <c r="AB123" s="482"/>
      <c r="AC123" s="482"/>
      <c r="AD123" s="482"/>
      <c r="AE123" s="482"/>
      <c r="AF123" s="482"/>
      <c r="AG123" s="482"/>
      <c r="AH123" s="482"/>
      <c r="AI123" s="482"/>
      <c r="AJ123" s="482"/>
      <c r="AK123" s="482"/>
      <c r="AL123" s="482"/>
      <c r="AM123" s="482"/>
      <c r="AN123" s="482"/>
      <c r="AO123" s="482"/>
      <c r="AP123" s="482"/>
      <c r="AQ123" s="482"/>
      <c r="AR123" s="482"/>
      <c r="AS123" s="482"/>
      <c r="AT123" s="482"/>
      <c r="AU123" s="482"/>
      <c r="AV123" s="482"/>
      <c r="AW123" s="483"/>
      <c r="AX123" s="484">
        <f t="shared" si="41"/>
        <v>0</v>
      </c>
      <c r="AY123" s="501" t="str">
        <f t="shared" si="37"/>
        <v/>
      </c>
      <c r="AZ123" s="488">
        <f t="shared" si="38"/>
        <v>0</v>
      </c>
    </row>
    <row r="124" spans="1:52" s="57" customFormat="1" ht="24.9" customHeight="1" x14ac:dyDescent="0.25">
      <c r="A124" s="425" t="s">
        <v>361</v>
      </c>
      <c r="B124" s="97" t="s">
        <v>111</v>
      </c>
      <c r="C124" s="97" t="s">
        <v>490</v>
      </c>
      <c r="D124" s="145" t="s">
        <v>491</v>
      </c>
      <c r="E124" s="230" t="s">
        <v>619</v>
      </c>
      <c r="F124" s="414" t="s">
        <v>678</v>
      </c>
      <c r="G124" s="127">
        <v>282.2</v>
      </c>
      <c r="H124" s="303" t="str">
        <f>VLOOKUP($F124,'Leistungswerte UHR Schulen'!$C$6:$F$38,3,FALSE)</f>
        <v>W5</v>
      </c>
      <c r="I124" s="328">
        <f>VLOOKUP(H124,Turnus!$D$9:$E$26,2,FALSE)</f>
        <v>188.46428571428572</v>
      </c>
      <c r="J124" s="127">
        <f t="shared" si="18"/>
        <v>53184.62142857143</v>
      </c>
      <c r="K124" s="128">
        <f>VLOOKUP($F124,'Leistungswerte UHR Schulen'!$C$6:$F$38,4,FALSE)</f>
        <v>0</v>
      </c>
      <c r="L124" s="496" t="str">
        <f t="shared" si="40"/>
        <v/>
      </c>
      <c r="M124" s="129">
        <f t="shared" si="19"/>
        <v>0</v>
      </c>
      <c r="N124" s="547">
        <f t="shared" si="29"/>
        <v>0</v>
      </c>
      <c r="O124" s="130">
        <f t="shared" si="20"/>
        <v>0</v>
      </c>
      <c r="P124" s="131">
        <f t="shared" si="36"/>
        <v>0</v>
      </c>
      <c r="Q124" s="578">
        <f t="shared" si="39"/>
        <v>1</v>
      </c>
      <c r="R124" s="587"/>
      <c r="S124" s="482"/>
      <c r="T124" s="482"/>
      <c r="U124" s="482"/>
      <c r="V124" s="482"/>
      <c r="W124" s="482"/>
      <c r="X124" s="482"/>
      <c r="Y124" s="482"/>
      <c r="Z124" s="482"/>
      <c r="AA124" s="482"/>
      <c r="AB124" s="482"/>
      <c r="AC124" s="482"/>
      <c r="AD124" s="482"/>
      <c r="AE124" s="482"/>
      <c r="AF124" s="482"/>
      <c r="AG124" s="482"/>
      <c r="AH124" s="482"/>
      <c r="AI124" s="482"/>
      <c r="AJ124" s="482"/>
      <c r="AK124" s="482"/>
      <c r="AL124" s="482"/>
      <c r="AM124" s="482"/>
      <c r="AN124" s="482"/>
      <c r="AO124" s="482"/>
      <c r="AP124" s="482"/>
      <c r="AQ124" s="482"/>
      <c r="AR124" s="482"/>
      <c r="AS124" s="482"/>
      <c r="AT124" s="482"/>
      <c r="AU124" s="482"/>
      <c r="AV124" s="482"/>
      <c r="AW124" s="483"/>
      <c r="AX124" s="484">
        <f t="shared" si="41"/>
        <v>0</v>
      </c>
      <c r="AY124" s="501" t="str">
        <f t="shared" si="37"/>
        <v/>
      </c>
      <c r="AZ124" s="488">
        <f t="shared" si="38"/>
        <v>0</v>
      </c>
    </row>
    <row r="125" spans="1:52" s="57" customFormat="1" ht="24.9" customHeight="1" x14ac:dyDescent="0.25">
      <c r="A125" s="425" t="s">
        <v>361</v>
      </c>
      <c r="B125" s="97" t="s">
        <v>111</v>
      </c>
      <c r="C125" s="97" t="s">
        <v>567</v>
      </c>
      <c r="D125" s="145" t="s">
        <v>102</v>
      </c>
      <c r="E125" s="230" t="s">
        <v>619</v>
      </c>
      <c r="F125" s="414" t="s">
        <v>676</v>
      </c>
      <c r="G125" s="127">
        <v>36.97</v>
      </c>
      <c r="H125" s="303" t="str">
        <f>VLOOKUP($F125,'Leistungswerte UHR Schulen'!$C$6:$F$38,3,FALSE)</f>
        <v>W5</v>
      </c>
      <c r="I125" s="328">
        <f>VLOOKUP(H125,Turnus!$D$9:$E$26,2,FALSE)</f>
        <v>188.46428571428572</v>
      </c>
      <c r="J125" s="127">
        <f t="shared" ref="J125:J130" si="61">+G125*I125</f>
        <v>6967.5246428571427</v>
      </c>
      <c r="K125" s="128">
        <f>VLOOKUP($F125,'Leistungswerte UHR Schulen'!$C$6:$F$38,4,FALSE)</f>
        <v>0</v>
      </c>
      <c r="L125" s="496" t="str">
        <f t="shared" si="40"/>
        <v/>
      </c>
      <c r="M125" s="129">
        <f t="shared" ref="M125:M130" si="62">IF(ISERROR(J125/K125),0,J125/K125)</f>
        <v>0</v>
      </c>
      <c r="N125" s="547">
        <f t="shared" si="54"/>
        <v>0</v>
      </c>
      <c r="O125" s="130">
        <f t="shared" ref="O125:O130" si="63">IF(ISERROR(G125/K125*N125),0,G125/K125*N125)</f>
        <v>0</v>
      </c>
      <c r="P125" s="131">
        <f t="shared" si="36"/>
        <v>0</v>
      </c>
      <c r="Q125" s="578">
        <f t="shared" si="39"/>
        <v>1</v>
      </c>
      <c r="R125" s="587"/>
      <c r="S125" s="482"/>
      <c r="T125" s="482"/>
      <c r="U125" s="482"/>
      <c r="V125" s="482"/>
      <c r="W125" s="482"/>
      <c r="X125" s="482"/>
      <c r="Y125" s="482"/>
      <c r="Z125" s="482"/>
      <c r="AA125" s="482"/>
      <c r="AB125" s="482"/>
      <c r="AC125" s="482"/>
      <c r="AD125" s="482"/>
      <c r="AE125" s="482"/>
      <c r="AF125" s="482"/>
      <c r="AG125" s="482"/>
      <c r="AH125" s="482"/>
      <c r="AI125" s="482"/>
      <c r="AJ125" s="482"/>
      <c r="AK125" s="482"/>
      <c r="AL125" s="482"/>
      <c r="AM125" s="482"/>
      <c r="AN125" s="482"/>
      <c r="AO125" s="482"/>
      <c r="AP125" s="482"/>
      <c r="AQ125" s="482"/>
      <c r="AR125" s="482"/>
      <c r="AS125" s="482"/>
      <c r="AT125" s="482"/>
      <c r="AU125" s="482"/>
      <c r="AV125" s="482"/>
      <c r="AW125" s="483"/>
      <c r="AX125" s="484">
        <f t="shared" si="41"/>
        <v>0</v>
      </c>
      <c r="AY125" s="501" t="str">
        <f t="shared" si="37"/>
        <v/>
      </c>
      <c r="AZ125" s="488">
        <f t="shared" si="38"/>
        <v>0</v>
      </c>
    </row>
    <row r="126" spans="1:52" s="57" customFormat="1" ht="24.9" customHeight="1" x14ac:dyDescent="0.25">
      <c r="A126" s="425" t="s">
        <v>361</v>
      </c>
      <c r="B126" s="97" t="s">
        <v>111</v>
      </c>
      <c r="C126" s="97" t="s">
        <v>569</v>
      </c>
      <c r="D126" s="145" t="s">
        <v>102</v>
      </c>
      <c r="E126" s="230" t="s">
        <v>253</v>
      </c>
      <c r="F126" s="414" t="s">
        <v>676</v>
      </c>
      <c r="G126" s="127">
        <v>48.8</v>
      </c>
      <c r="H126" s="303" t="str">
        <f>VLOOKUP($F126,'Leistungswerte UHR Schulen'!$C$6:$F$38,3,FALSE)</f>
        <v>W5</v>
      </c>
      <c r="I126" s="328">
        <f>VLOOKUP(H126,Turnus!$D$9:$E$26,2,FALSE)</f>
        <v>188.46428571428572</v>
      </c>
      <c r="J126" s="127">
        <f t="shared" si="61"/>
        <v>9197.057142857142</v>
      </c>
      <c r="K126" s="128">
        <f>VLOOKUP($F126,'Leistungswerte UHR Schulen'!$C$6:$F$38,4,FALSE)</f>
        <v>0</v>
      </c>
      <c r="L126" s="496" t="str">
        <f t="shared" si="40"/>
        <v/>
      </c>
      <c r="M126" s="129">
        <f t="shared" si="62"/>
        <v>0</v>
      </c>
      <c r="N126" s="547">
        <f t="shared" si="54"/>
        <v>0</v>
      </c>
      <c r="O126" s="130">
        <f t="shared" si="63"/>
        <v>0</v>
      </c>
      <c r="P126" s="131">
        <f t="shared" si="36"/>
        <v>0</v>
      </c>
      <c r="Q126" s="578">
        <f t="shared" si="39"/>
        <v>1</v>
      </c>
      <c r="R126" s="587"/>
      <c r="S126" s="482"/>
      <c r="T126" s="482"/>
      <c r="U126" s="482"/>
      <c r="V126" s="482"/>
      <c r="W126" s="482"/>
      <c r="X126" s="482"/>
      <c r="Y126" s="482"/>
      <c r="Z126" s="482"/>
      <c r="AA126" s="482"/>
      <c r="AB126" s="482"/>
      <c r="AC126" s="482"/>
      <c r="AD126" s="482"/>
      <c r="AE126" s="482"/>
      <c r="AF126" s="482"/>
      <c r="AG126" s="482"/>
      <c r="AH126" s="482"/>
      <c r="AI126" s="482"/>
      <c r="AJ126" s="482"/>
      <c r="AK126" s="482"/>
      <c r="AL126" s="482"/>
      <c r="AM126" s="482"/>
      <c r="AN126" s="482"/>
      <c r="AO126" s="482"/>
      <c r="AP126" s="482"/>
      <c r="AQ126" s="482"/>
      <c r="AR126" s="482"/>
      <c r="AS126" s="482"/>
      <c r="AT126" s="482"/>
      <c r="AU126" s="482"/>
      <c r="AV126" s="482"/>
      <c r="AW126" s="483"/>
      <c r="AX126" s="484">
        <f t="shared" si="41"/>
        <v>0</v>
      </c>
      <c r="AY126" s="501" t="str">
        <f t="shared" si="37"/>
        <v/>
      </c>
      <c r="AZ126" s="488">
        <f t="shared" si="38"/>
        <v>0</v>
      </c>
    </row>
    <row r="127" spans="1:52" s="57" customFormat="1" ht="24.9" customHeight="1" x14ac:dyDescent="0.25">
      <c r="A127" s="425" t="s">
        <v>361</v>
      </c>
      <c r="B127" s="97" t="s">
        <v>111</v>
      </c>
      <c r="C127" s="97" t="s">
        <v>574</v>
      </c>
      <c r="D127" s="145" t="s">
        <v>251</v>
      </c>
      <c r="E127" s="230" t="s">
        <v>619</v>
      </c>
      <c r="F127" s="414" t="s">
        <v>903</v>
      </c>
      <c r="G127" s="127">
        <v>3.33</v>
      </c>
      <c r="H127" s="303" t="str">
        <f>VLOOKUP($F127,'Leistungswerte UHR Schulen'!$C$6:$F$38,3,FALSE)</f>
        <v>W3</v>
      </c>
      <c r="I127" s="328">
        <f>VLOOKUP(H127,Turnus!$D$9:$E$26,2,FALSE)</f>
        <v>114.53571428571426</v>
      </c>
      <c r="J127" s="127">
        <f t="shared" si="61"/>
        <v>381.40392857142848</v>
      </c>
      <c r="K127" s="128">
        <f>VLOOKUP($F127,'Leistungswerte UHR Schulen'!$C$6:$F$38,4,FALSE)</f>
        <v>0</v>
      </c>
      <c r="L127" s="496" t="str">
        <f t="shared" si="40"/>
        <v/>
      </c>
      <c r="M127" s="129">
        <f t="shared" si="62"/>
        <v>0</v>
      </c>
      <c r="N127" s="547">
        <f t="shared" si="54"/>
        <v>0</v>
      </c>
      <c r="O127" s="130">
        <f t="shared" si="63"/>
        <v>0</v>
      </c>
      <c r="P127" s="131">
        <f t="shared" si="36"/>
        <v>0</v>
      </c>
      <c r="Q127" s="578">
        <f t="shared" si="39"/>
        <v>1</v>
      </c>
      <c r="R127" s="587"/>
      <c r="S127" s="482"/>
      <c r="T127" s="482"/>
      <c r="U127" s="482"/>
      <c r="V127" s="482"/>
      <c r="W127" s="482"/>
      <c r="X127" s="482"/>
      <c r="Y127" s="482"/>
      <c r="Z127" s="482"/>
      <c r="AA127" s="482"/>
      <c r="AB127" s="482"/>
      <c r="AC127" s="482"/>
      <c r="AD127" s="482"/>
      <c r="AE127" s="482"/>
      <c r="AF127" s="482"/>
      <c r="AG127" s="482"/>
      <c r="AH127" s="482"/>
      <c r="AI127" s="482"/>
      <c r="AJ127" s="482"/>
      <c r="AK127" s="482"/>
      <c r="AL127" s="482"/>
      <c r="AM127" s="482"/>
      <c r="AN127" s="482"/>
      <c r="AO127" s="482"/>
      <c r="AP127" s="482"/>
      <c r="AQ127" s="482"/>
      <c r="AR127" s="482"/>
      <c r="AS127" s="482"/>
      <c r="AT127" s="482"/>
      <c r="AU127" s="482"/>
      <c r="AV127" s="482"/>
      <c r="AW127" s="483"/>
      <c r="AX127" s="484">
        <f t="shared" si="41"/>
        <v>0</v>
      </c>
      <c r="AY127" s="501" t="str">
        <f t="shared" si="37"/>
        <v/>
      </c>
      <c r="AZ127" s="488">
        <f t="shared" si="38"/>
        <v>0</v>
      </c>
    </row>
    <row r="128" spans="1:52" s="57" customFormat="1" ht="24.9" customHeight="1" x14ac:dyDescent="0.25">
      <c r="A128" s="425" t="s">
        <v>361</v>
      </c>
      <c r="B128" s="97" t="s">
        <v>111</v>
      </c>
      <c r="C128" s="97" t="s">
        <v>532</v>
      </c>
      <c r="D128" s="145" t="s">
        <v>102</v>
      </c>
      <c r="E128" s="230" t="s">
        <v>619</v>
      </c>
      <c r="F128" s="414" t="s">
        <v>676</v>
      </c>
      <c r="G128" s="127">
        <v>121.4</v>
      </c>
      <c r="H128" s="303" t="str">
        <f>VLOOKUP($F128,'Leistungswerte UHR Schulen'!$C$6:$F$38,3,FALSE)</f>
        <v>W5</v>
      </c>
      <c r="I128" s="328">
        <f>VLOOKUP(H128,Turnus!$D$9:$E$26,2,FALSE)</f>
        <v>188.46428571428572</v>
      </c>
      <c r="J128" s="127">
        <f t="shared" si="61"/>
        <v>22879.564285714288</v>
      </c>
      <c r="K128" s="128">
        <f>VLOOKUP($F128,'Leistungswerte UHR Schulen'!$C$6:$F$38,4,FALSE)</f>
        <v>0</v>
      </c>
      <c r="L128" s="496" t="str">
        <f t="shared" si="40"/>
        <v/>
      </c>
      <c r="M128" s="129">
        <f t="shared" si="62"/>
        <v>0</v>
      </c>
      <c r="N128" s="547">
        <f t="shared" si="29"/>
        <v>0</v>
      </c>
      <c r="O128" s="130">
        <f t="shared" si="63"/>
        <v>0</v>
      </c>
      <c r="P128" s="131">
        <f t="shared" si="36"/>
        <v>0</v>
      </c>
      <c r="Q128" s="578">
        <f t="shared" si="39"/>
        <v>1</v>
      </c>
      <c r="R128" s="587"/>
      <c r="S128" s="482"/>
      <c r="T128" s="482"/>
      <c r="U128" s="482"/>
      <c r="V128" s="482"/>
      <c r="W128" s="482"/>
      <c r="X128" s="482"/>
      <c r="Y128" s="482"/>
      <c r="Z128" s="482"/>
      <c r="AA128" s="482"/>
      <c r="AB128" s="482"/>
      <c r="AC128" s="482"/>
      <c r="AD128" s="482"/>
      <c r="AE128" s="482"/>
      <c r="AF128" s="482"/>
      <c r="AG128" s="482"/>
      <c r="AH128" s="482"/>
      <c r="AI128" s="482"/>
      <c r="AJ128" s="482"/>
      <c r="AK128" s="482"/>
      <c r="AL128" s="482"/>
      <c r="AM128" s="482"/>
      <c r="AN128" s="482"/>
      <c r="AO128" s="482"/>
      <c r="AP128" s="482"/>
      <c r="AQ128" s="482"/>
      <c r="AR128" s="482"/>
      <c r="AS128" s="482"/>
      <c r="AT128" s="482"/>
      <c r="AU128" s="482"/>
      <c r="AV128" s="482"/>
      <c r="AW128" s="483"/>
      <c r="AX128" s="484">
        <f t="shared" si="41"/>
        <v>0</v>
      </c>
      <c r="AY128" s="501" t="str">
        <f t="shared" si="37"/>
        <v/>
      </c>
      <c r="AZ128" s="488">
        <f t="shared" si="38"/>
        <v>0</v>
      </c>
    </row>
    <row r="129" spans="1:52" s="57" customFormat="1" ht="24.9" customHeight="1" x14ac:dyDescent="0.25">
      <c r="A129" s="425" t="s">
        <v>361</v>
      </c>
      <c r="B129" s="97" t="s">
        <v>111</v>
      </c>
      <c r="C129" s="97" t="s">
        <v>543</v>
      </c>
      <c r="D129" s="145" t="s">
        <v>266</v>
      </c>
      <c r="E129" s="230" t="s">
        <v>619</v>
      </c>
      <c r="F129" s="414" t="s">
        <v>674</v>
      </c>
      <c r="G129" s="127">
        <v>18.190000000000001</v>
      </c>
      <c r="H129" s="303" t="str">
        <f>VLOOKUP($F129,'Leistungswerte UHR Schulen'!$C$6:$F$38,3,FALSE)</f>
        <v>W5</v>
      </c>
      <c r="I129" s="328">
        <f>VLOOKUP(H129,Turnus!$D$9:$E$26,2,FALSE)</f>
        <v>188.46428571428572</v>
      </c>
      <c r="J129" s="127">
        <f t="shared" si="61"/>
        <v>3428.1653571428574</v>
      </c>
      <c r="K129" s="128">
        <f>VLOOKUP($F129,'Leistungswerte UHR Schulen'!$C$6:$F$38,4,FALSE)</f>
        <v>0</v>
      </c>
      <c r="L129" s="496" t="str">
        <f t="shared" si="40"/>
        <v/>
      </c>
      <c r="M129" s="129">
        <f t="shared" si="62"/>
        <v>0</v>
      </c>
      <c r="N129" s="547">
        <f t="shared" si="54"/>
        <v>0</v>
      </c>
      <c r="O129" s="130">
        <f t="shared" si="63"/>
        <v>0</v>
      </c>
      <c r="P129" s="131">
        <f t="shared" si="36"/>
        <v>0</v>
      </c>
      <c r="Q129" s="578">
        <f t="shared" si="39"/>
        <v>1</v>
      </c>
      <c r="R129" s="587"/>
      <c r="S129" s="482"/>
      <c r="T129" s="482"/>
      <c r="U129" s="482"/>
      <c r="V129" s="482"/>
      <c r="W129" s="482"/>
      <c r="X129" s="482"/>
      <c r="Y129" s="482"/>
      <c r="Z129" s="482"/>
      <c r="AA129" s="482"/>
      <c r="AB129" s="482"/>
      <c r="AC129" s="482"/>
      <c r="AD129" s="482"/>
      <c r="AE129" s="482"/>
      <c r="AF129" s="482"/>
      <c r="AG129" s="482"/>
      <c r="AH129" s="482"/>
      <c r="AI129" s="482"/>
      <c r="AJ129" s="482"/>
      <c r="AK129" s="482"/>
      <c r="AL129" s="482"/>
      <c r="AM129" s="482"/>
      <c r="AN129" s="482"/>
      <c r="AO129" s="482"/>
      <c r="AP129" s="482"/>
      <c r="AQ129" s="482"/>
      <c r="AR129" s="482"/>
      <c r="AS129" s="482"/>
      <c r="AT129" s="482"/>
      <c r="AU129" s="482"/>
      <c r="AV129" s="482"/>
      <c r="AW129" s="483"/>
      <c r="AX129" s="484">
        <f t="shared" si="41"/>
        <v>0</v>
      </c>
      <c r="AY129" s="501" t="str">
        <f t="shared" si="37"/>
        <v/>
      </c>
      <c r="AZ129" s="488">
        <f t="shared" si="38"/>
        <v>0</v>
      </c>
    </row>
    <row r="130" spans="1:52" s="57" customFormat="1" ht="24.9" customHeight="1" x14ac:dyDescent="0.25">
      <c r="A130" s="425" t="s">
        <v>361</v>
      </c>
      <c r="B130" s="97" t="s">
        <v>111</v>
      </c>
      <c r="C130" s="97" t="s">
        <v>534</v>
      </c>
      <c r="D130" s="145" t="s">
        <v>749</v>
      </c>
      <c r="E130" s="230" t="s">
        <v>865</v>
      </c>
      <c r="F130" s="414" t="s">
        <v>750</v>
      </c>
      <c r="G130" s="127">
        <v>42.07</v>
      </c>
      <c r="H130" s="303" t="str">
        <f>VLOOKUP($F130,'Leistungswerte UHR Schulen'!$C$6:$F$38,3,FALSE)</f>
        <v>W5</v>
      </c>
      <c r="I130" s="328">
        <f>VLOOKUP(H130,Turnus!$D$9:$E$26,2,FALSE)</f>
        <v>188.46428571428572</v>
      </c>
      <c r="J130" s="127">
        <f t="shared" si="61"/>
        <v>7928.6925000000001</v>
      </c>
      <c r="K130" s="128">
        <f>VLOOKUP($F130,'Leistungswerte UHR Schulen'!$C$6:$F$38,4,FALSE)</f>
        <v>0</v>
      </c>
      <c r="L130" s="496" t="str">
        <f t="shared" si="40"/>
        <v/>
      </c>
      <c r="M130" s="129">
        <f t="shared" si="62"/>
        <v>0</v>
      </c>
      <c r="N130" s="547">
        <f t="shared" si="54"/>
        <v>0</v>
      </c>
      <c r="O130" s="130">
        <f t="shared" si="63"/>
        <v>0</v>
      </c>
      <c r="P130" s="131">
        <f t="shared" si="36"/>
        <v>0</v>
      </c>
      <c r="Q130" s="578">
        <f t="shared" si="39"/>
        <v>1</v>
      </c>
      <c r="R130" s="587"/>
      <c r="S130" s="482"/>
      <c r="T130" s="482"/>
      <c r="U130" s="482"/>
      <c r="V130" s="482"/>
      <c r="W130" s="482"/>
      <c r="X130" s="482"/>
      <c r="Y130" s="482"/>
      <c r="Z130" s="482"/>
      <c r="AA130" s="482"/>
      <c r="AB130" s="482"/>
      <c r="AC130" s="482"/>
      <c r="AD130" s="482"/>
      <c r="AE130" s="482"/>
      <c r="AF130" s="482"/>
      <c r="AG130" s="482"/>
      <c r="AH130" s="482"/>
      <c r="AI130" s="482"/>
      <c r="AJ130" s="482"/>
      <c r="AK130" s="482"/>
      <c r="AL130" s="482"/>
      <c r="AM130" s="482"/>
      <c r="AN130" s="482"/>
      <c r="AO130" s="482"/>
      <c r="AP130" s="482"/>
      <c r="AQ130" s="482"/>
      <c r="AR130" s="482"/>
      <c r="AS130" s="482"/>
      <c r="AT130" s="482"/>
      <c r="AU130" s="482"/>
      <c r="AV130" s="482"/>
      <c r="AW130" s="483"/>
      <c r="AX130" s="484">
        <f t="shared" si="41"/>
        <v>0</v>
      </c>
      <c r="AY130" s="501" t="str">
        <f t="shared" si="37"/>
        <v/>
      </c>
      <c r="AZ130" s="488">
        <f t="shared" si="38"/>
        <v>0</v>
      </c>
    </row>
    <row r="131" spans="1:52" s="57" customFormat="1" ht="24.9" customHeight="1" x14ac:dyDescent="0.25">
      <c r="A131" s="425" t="s">
        <v>361</v>
      </c>
      <c r="B131" s="97" t="s">
        <v>111</v>
      </c>
      <c r="C131" s="97" t="s">
        <v>492</v>
      </c>
      <c r="D131" s="145" t="s">
        <v>267</v>
      </c>
      <c r="E131" s="230" t="s">
        <v>253</v>
      </c>
      <c r="F131" s="414" t="s">
        <v>667</v>
      </c>
      <c r="G131" s="127">
        <v>26.88</v>
      </c>
      <c r="H131" s="303" t="str">
        <f>VLOOKUP($F131,'Leistungswerte UHR Schulen'!$C$6:$F$38,3,FALSE)</f>
        <v>W3</v>
      </c>
      <c r="I131" s="328">
        <f>VLOOKUP(H131,Turnus!$D$9:$E$26,2,FALSE)</f>
        <v>114.53571428571426</v>
      </c>
      <c r="J131" s="127">
        <f t="shared" si="18"/>
        <v>3078.7199999999993</v>
      </c>
      <c r="K131" s="128">
        <f>VLOOKUP($F131,'Leistungswerte UHR Schulen'!$C$6:$F$38,4,FALSE)</f>
        <v>0</v>
      </c>
      <c r="L131" s="496" t="str">
        <f t="shared" si="40"/>
        <v/>
      </c>
      <c r="M131" s="129">
        <f t="shared" si="19"/>
        <v>0</v>
      </c>
      <c r="N131" s="547">
        <f t="shared" si="29"/>
        <v>0</v>
      </c>
      <c r="O131" s="130">
        <f t="shared" si="20"/>
        <v>0</v>
      </c>
      <c r="P131" s="131">
        <f t="shared" si="36"/>
        <v>0</v>
      </c>
      <c r="Q131" s="578">
        <f t="shared" si="39"/>
        <v>1</v>
      </c>
      <c r="R131" s="587"/>
      <c r="S131" s="482"/>
      <c r="T131" s="482"/>
      <c r="U131" s="482"/>
      <c r="V131" s="482"/>
      <c r="W131" s="482"/>
      <c r="X131" s="482"/>
      <c r="Y131" s="482"/>
      <c r="Z131" s="482"/>
      <c r="AA131" s="482"/>
      <c r="AB131" s="482"/>
      <c r="AC131" s="482"/>
      <c r="AD131" s="482"/>
      <c r="AE131" s="482"/>
      <c r="AF131" s="482"/>
      <c r="AG131" s="482"/>
      <c r="AH131" s="482"/>
      <c r="AI131" s="482"/>
      <c r="AJ131" s="482"/>
      <c r="AK131" s="482"/>
      <c r="AL131" s="482"/>
      <c r="AM131" s="482"/>
      <c r="AN131" s="482"/>
      <c r="AO131" s="482"/>
      <c r="AP131" s="482"/>
      <c r="AQ131" s="482"/>
      <c r="AR131" s="482"/>
      <c r="AS131" s="482"/>
      <c r="AT131" s="482"/>
      <c r="AU131" s="482"/>
      <c r="AV131" s="482"/>
      <c r="AW131" s="483"/>
      <c r="AX131" s="484">
        <f t="shared" si="41"/>
        <v>0</v>
      </c>
      <c r="AY131" s="501" t="str">
        <f t="shared" si="37"/>
        <v/>
      </c>
      <c r="AZ131" s="488">
        <f t="shared" si="38"/>
        <v>0</v>
      </c>
    </row>
    <row r="132" spans="1:52" s="57" customFormat="1" ht="24.9" customHeight="1" x14ac:dyDescent="0.25">
      <c r="A132" s="425" t="s">
        <v>361</v>
      </c>
      <c r="B132" s="97" t="s">
        <v>111</v>
      </c>
      <c r="C132" s="97" t="s">
        <v>493</v>
      </c>
      <c r="D132" s="145" t="s">
        <v>494</v>
      </c>
      <c r="E132" s="230" t="s">
        <v>253</v>
      </c>
      <c r="F132" s="414" t="s">
        <v>667</v>
      </c>
      <c r="G132" s="127">
        <v>5.62</v>
      </c>
      <c r="H132" s="303" t="str">
        <f>VLOOKUP($F132,'Leistungswerte UHR Schulen'!$C$6:$F$38,3,FALSE)</f>
        <v>W3</v>
      </c>
      <c r="I132" s="328">
        <f>VLOOKUP(H132,Turnus!$D$9:$E$26,2,FALSE)</f>
        <v>114.53571428571426</v>
      </c>
      <c r="J132" s="127">
        <f t="shared" si="18"/>
        <v>643.69071428571419</v>
      </c>
      <c r="K132" s="128">
        <f>VLOOKUP($F132,'Leistungswerte UHR Schulen'!$C$6:$F$38,4,FALSE)</f>
        <v>0</v>
      </c>
      <c r="L132" s="496" t="str">
        <f t="shared" si="40"/>
        <v/>
      </c>
      <c r="M132" s="129">
        <f t="shared" si="19"/>
        <v>0</v>
      </c>
      <c r="N132" s="547">
        <f t="shared" si="29"/>
        <v>0</v>
      </c>
      <c r="O132" s="130">
        <f t="shared" si="20"/>
        <v>0</v>
      </c>
      <c r="P132" s="131">
        <f t="shared" si="36"/>
        <v>0</v>
      </c>
      <c r="Q132" s="578">
        <f t="shared" si="39"/>
        <v>1</v>
      </c>
      <c r="R132" s="587"/>
      <c r="S132" s="482"/>
      <c r="T132" s="482"/>
      <c r="U132" s="482"/>
      <c r="V132" s="482"/>
      <c r="W132" s="482"/>
      <c r="X132" s="482"/>
      <c r="Y132" s="482"/>
      <c r="Z132" s="482"/>
      <c r="AA132" s="482"/>
      <c r="AB132" s="482"/>
      <c r="AC132" s="482"/>
      <c r="AD132" s="482"/>
      <c r="AE132" s="482"/>
      <c r="AF132" s="482"/>
      <c r="AG132" s="482"/>
      <c r="AH132" s="482"/>
      <c r="AI132" s="482"/>
      <c r="AJ132" s="482"/>
      <c r="AK132" s="482"/>
      <c r="AL132" s="482"/>
      <c r="AM132" s="482"/>
      <c r="AN132" s="482"/>
      <c r="AO132" s="482"/>
      <c r="AP132" s="482"/>
      <c r="AQ132" s="482"/>
      <c r="AR132" s="482"/>
      <c r="AS132" s="482"/>
      <c r="AT132" s="482"/>
      <c r="AU132" s="482"/>
      <c r="AV132" s="482"/>
      <c r="AW132" s="483"/>
      <c r="AX132" s="484">
        <f t="shared" si="41"/>
        <v>0</v>
      </c>
      <c r="AY132" s="501" t="str">
        <f t="shared" si="37"/>
        <v/>
      </c>
      <c r="AZ132" s="488">
        <f t="shared" si="38"/>
        <v>0</v>
      </c>
    </row>
    <row r="133" spans="1:52" s="57" customFormat="1" ht="24.9" customHeight="1" x14ac:dyDescent="0.25">
      <c r="A133" s="425" t="s">
        <v>361</v>
      </c>
      <c r="B133" s="97" t="s">
        <v>111</v>
      </c>
      <c r="C133" s="97" t="s">
        <v>495</v>
      </c>
      <c r="D133" s="145" t="s">
        <v>496</v>
      </c>
      <c r="E133" s="230" t="s">
        <v>253</v>
      </c>
      <c r="F133" s="414" t="s">
        <v>667</v>
      </c>
      <c r="G133" s="127">
        <v>25.5</v>
      </c>
      <c r="H133" s="303" t="str">
        <f>VLOOKUP($F133,'Leistungswerte UHR Schulen'!$C$6:$F$38,3,FALSE)</f>
        <v>W3</v>
      </c>
      <c r="I133" s="328">
        <f>VLOOKUP(H133,Turnus!$D$9:$E$26,2,FALSE)</f>
        <v>114.53571428571426</v>
      </c>
      <c r="J133" s="127">
        <f t="shared" si="18"/>
        <v>2920.6607142857138</v>
      </c>
      <c r="K133" s="128">
        <f>VLOOKUP($F133,'Leistungswerte UHR Schulen'!$C$6:$F$38,4,FALSE)</f>
        <v>0</v>
      </c>
      <c r="L133" s="496" t="str">
        <f t="shared" si="40"/>
        <v/>
      </c>
      <c r="M133" s="129">
        <f t="shared" si="19"/>
        <v>0</v>
      </c>
      <c r="N133" s="547">
        <f t="shared" si="29"/>
        <v>0</v>
      </c>
      <c r="O133" s="130">
        <f t="shared" si="20"/>
        <v>0</v>
      </c>
      <c r="P133" s="131">
        <f t="shared" si="36"/>
        <v>0</v>
      </c>
      <c r="Q133" s="578">
        <f t="shared" si="39"/>
        <v>1</v>
      </c>
      <c r="R133" s="587"/>
      <c r="S133" s="482"/>
      <c r="T133" s="482"/>
      <c r="U133" s="482"/>
      <c r="V133" s="482"/>
      <c r="W133" s="482"/>
      <c r="X133" s="482"/>
      <c r="Y133" s="482"/>
      <c r="Z133" s="482"/>
      <c r="AA133" s="482"/>
      <c r="AB133" s="482"/>
      <c r="AC133" s="482"/>
      <c r="AD133" s="482"/>
      <c r="AE133" s="482"/>
      <c r="AF133" s="482"/>
      <c r="AG133" s="482"/>
      <c r="AH133" s="482"/>
      <c r="AI133" s="482"/>
      <c r="AJ133" s="482"/>
      <c r="AK133" s="482"/>
      <c r="AL133" s="482"/>
      <c r="AM133" s="482"/>
      <c r="AN133" s="482"/>
      <c r="AO133" s="482"/>
      <c r="AP133" s="482"/>
      <c r="AQ133" s="482"/>
      <c r="AR133" s="482"/>
      <c r="AS133" s="482"/>
      <c r="AT133" s="482"/>
      <c r="AU133" s="482"/>
      <c r="AV133" s="482"/>
      <c r="AW133" s="483"/>
      <c r="AX133" s="484">
        <f t="shared" si="41"/>
        <v>0</v>
      </c>
      <c r="AY133" s="501" t="str">
        <f t="shared" si="37"/>
        <v/>
      </c>
      <c r="AZ133" s="488">
        <f t="shared" si="38"/>
        <v>0</v>
      </c>
    </row>
    <row r="134" spans="1:52" s="57" customFormat="1" ht="24.9" customHeight="1" x14ac:dyDescent="0.25">
      <c r="A134" s="425" t="s">
        <v>361</v>
      </c>
      <c r="B134" s="97" t="s">
        <v>111</v>
      </c>
      <c r="C134" s="97" t="s">
        <v>497</v>
      </c>
      <c r="D134" s="145" t="s">
        <v>276</v>
      </c>
      <c r="E134" s="230" t="s">
        <v>253</v>
      </c>
      <c r="F134" s="414" t="s">
        <v>667</v>
      </c>
      <c r="G134" s="127">
        <v>22.29</v>
      </c>
      <c r="H134" s="303" t="str">
        <f>VLOOKUP($F134,'Leistungswerte UHR Schulen'!$C$6:$F$38,3,FALSE)</f>
        <v>W3</v>
      </c>
      <c r="I134" s="328">
        <f>VLOOKUP(H134,Turnus!$D$9:$E$26,2,FALSE)</f>
        <v>114.53571428571426</v>
      </c>
      <c r="J134" s="127">
        <f t="shared" si="18"/>
        <v>2553.0010714285709</v>
      </c>
      <c r="K134" s="128">
        <f>VLOOKUP($F134,'Leistungswerte UHR Schulen'!$C$6:$F$38,4,FALSE)</f>
        <v>0</v>
      </c>
      <c r="L134" s="496" t="str">
        <f t="shared" si="40"/>
        <v/>
      </c>
      <c r="M134" s="129">
        <f t="shared" si="19"/>
        <v>0</v>
      </c>
      <c r="N134" s="547">
        <f t="shared" si="29"/>
        <v>0</v>
      </c>
      <c r="O134" s="130">
        <f t="shared" si="20"/>
        <v>0</v>
      </c>
      <c r="P134" s="131">
        <f t="shared" si="36"/>
        <v>0</v>
      </c>
      <c r="Q134" s="578">
        <f t="shared" si="39"/>
        <v>1</v>
      </c>
      <c r="R134" s="587"/>
      <c r="S134" s="482"/>
      <c r="T134" s="482"/>
      <c r="U134" s="482"/>
      <c r="V134" s="482"/>
      <c r="W134" s="482"/>
      <c r="X134" s="482"/>
      <c r="Y134" s="482"/>
      <c r="Z134" s="482"/>
      <c r="AA134" s="482"/>
      <c r="AB134" s="482"/>
      <c r="AC134" s="482"/>
      <c r="AD134" s="482"/>
      <c r="AE134" s="482"/>
      <c r="AF134" s="482"/>
      <c r="AG134" s="482"/>
      <c r="AH134" s="482"/>
      <c r="AI134" s="482"/>
      <c r="AJ134" s="482"/>
      <c r="AK134" s="482"/>
      <c r="AL134" s="482"/>
      <c r="AM134" s="482"/>
      <c r="AN134" s="482"/>
      <c r="AO134" s="482"/>
      <c r="AP134" s="482"/>
      <c r="AQ134" s="482"/>
      <c r="AR134" s="482"/>
      <c r="AS134" s="482"/>
      <c r="AT134" s="482"/>
      <c r="AU134" s="482"/>
      <c r="AV134" s="482"/>
      <c r="AW134" s="483"/>
      <c r="AX134" s="484">
        <f t="shared" si="41"/>
        <v>0</v>
      </c>
      <c r="AY134" s="501" t="str">
        <f t="shared" si="37"/>
        <v/>
      </c>
      <c r="AZ134" s="488">
        <f t="shared" si="38"/>
        <v>0</v>
      </c>
    </row>
    <row r="135" spans="1:52" s="57" customFormat="1" ht="24.9" customHeight="1" x14ac:dyDescent="0.25">
      <c r="A135" s="425" t="s">
        <v>361</v>
      </c>
      <c r="B135" s="97" t="s">
        <v>111</v>
      </c>
      <c r="C135" s="97" t="s">
        <v>498</v>
      </c>
      <c r="D135" s="145" t="s">
        <v>500</v>
      </c>
      <c r="E135" s="230" t="s">
        <v>253</v>
      </c>
      <c r="F135" s="414" t="s">
        <v>667</v>
      </c>
      <c r="G135" s="127">
        <v>13.6</v>
      </c>
      <c r="H135" s="303" t="str">
        <f>VLOOKUP($F135,'Leistungswerte UHR Schulen'!$C$6:$F$38,3,FALSE)</f>
        <v>W3</v>
      </c>
      <c r="I135" s="328">
        <f>VLOOKUP(H135,Turnus!$D$9:$E$26,2,FALSE)</f>
        <v>114.53571428571426</v>
      </c>
      <c r="J135" s="127">
        <f t="shared" si="18"/>
        <v>1557.6857142857139</v>
      </c>
      <c r="K135" s="128">
        <f>VLOOKUP($F135,'Leistungswerte UHR Schulen'!$C$6:$F$38,4,FALSE)</f>
        <v>0</v>
      </c>
      <c r="L135" s="496" t="str">
        <f t="shared" si="40"/>
        <v/>
      </c>
      <c r="M135" s="129">
        <f t="shared" si="19"/>
        <v>0</v>
      </c>
      <c r="N135" s="547">
        <f t="shared" si="29"/>
        <v>0</v>
      </c>
      <c r="O135" s="130">
        <f t="shared" si="20"/>
        <v>0</v>
      </c>
      <c r="P135" s="131">
        <f t="shared" si="36"/>
        <v>0</v>
      </c>
      <c r="Q135" s="578">
        <f t="shared" si="39"/>
        <v>1</v>
      </c>
      <c r="R135" s="587"/>
      <c r="S135" s="482"/>
      <c r="T135" s="482"/>
      <c r="U135" s="482"/>
      <c r="V135" s="482"/>
      <c r="W135" s="482"/>
      <c r="X135" s="482"/>
      <c r="Y135" s="482"/>
      <c r="Z135" s="482"/>
      <c r="AA135" s="482"/>
      <c r="AB135" s="482"/>
      <c r="AC135" s="482"/>
      <c r="AD135" s="482"/>
      <c r="AE135" s="482"/>
      <c r="AF135" s="482"/>
      <c r="AG135" s="482"/>
      <c r="AH135" s="482"/>
      <c r="AI135" s="482"/>
      <c r="AJ135" s="482"/>
      <c r="AK135" s="482"/>
      <c r="AL135" s="482"/>
      <c r="AM135" s="482"/>
      <c r="AN135" s="482"/>
      <c r="AO135" s="482"/>
      <c r="AP135" s="482"/>
      <c r="AQ135" s="482"/>
      <c r="AR135" s="482"/>
      <c r="AS135" s="482"/>
      <c r="AT135" s="482"/>
      <c r="AU135" s="482"/>
      <c r="AV135" s="482"/>
      <c r="AW135" s="483"/>
      <c r="AX135" s="484">
        <f t="shared" si="41"/>
        <v>0</v>
      </c>
      <c r="AY135" s="501" t="str">
        <f t="shared" si="37"/>
        <v/>
      </c>
      <c r="AZ135" s="488">
        <f t="shared" si="38"/>
        <v>0</v>
      </c>
    </row>
    <row r="136" spans="1:52" s="57" customFormat="1" ht="24.9" customHeight="1" x14ac:dyDescent="0.25">
      <c r="A136" s="425" t="s">
        <v>361</v>
      </c>
      <c r="B136" s="97" t="s">
        <v>111</v>
      </c>
      <c r="C136" s="97" t="s">
        <v>499</v>
      </c>
      <c r="D136" s="145" t="s">
        <v>716</v>
      </c>
      <c r="E136" s="230" t="s">
        <v>253</v>
      </c>
      <c r="F136" s="414" t="s">
        <v>667</v>
      </c>
      <c r="G136" s="127">
        <v>20.399999999999999</v>
      </c>
      <c r="H136" s="303" t="str">
        <f>VLOOKUP($F136,'Leistungswerte UHR Schulen'!$C$6:$F$38,3,FALSE)</f>
        <v>W3</v>
      </c>
      <c r="I136" s="328">
        <f>VLOOKUP(H136,Turnus!$D$9:$E$26,2,FALSE)</f>
        <v>114.53571428571426</v>
      </c>
      <c r="J136" s="127">
        <f t="shared" si="18"/>
        <v>2336.528571428571</v>
      </c>
      <c r="K136" s="128">
        <f>VLOOKUP($F136,'Leistungswerte UHR Schulen'!$C$6:$F$38,4,FALSE)</f>
        <v>0</v>
      </c>
      <c r="L136" s="496" t="str">
        <f t="shared" si="40"/>
        <v/>
      </c>
      <c r="M136" s="129">
        <f t="shared" si="19"/>
        <v>0</v>
      </c>
      <c r="N136" s="547">
        <f t="shared" si="29"/>
        <v>0</v>
      </c>
      <c r="O136" s="130">
        <f t="shared" si="20"/>
        <v>0</v>
      </c>
      <c r="P136" s="131">
        <f t="shared" ref="P136:P199" si="64">+M136*N136</f>
        <v>0</v>
      </c>
      <c r="Q136" s="578">
        <f t="shared" si="39"/>
        <v>1</v>
      </c>
      <c r="R136" s="587"/>
      <c r="S136" s="482"/>
      <c r="T136" s="482"/>
      <c r="U136" s="482"/>
      <c r="V136" s="482"/>
      <c r="W136" s="482"/>
      <c r="X136" s="482"/>
      <c r="Y136" s="482"/>
      <c r="Z136" s="482"/>
      <c r="AA136" s="482"/>
      <c r="AB136" s="482"/>
      <c r="AC136" s="482"/>
      <c r="AD136" s="482"/>
      <c r="AE136" s="482"/>
      <c r="AF136" s="482"/>
      <c r="AG136" s="482"/>
      <c r="AH136" s="482"/>
      <c r="AI136" s="482"/>
      <c r="AJ136" s="482"/>
      <c r="AK136" s="482"/>
      <c r="AL136" s="482"/>
      <c r="AM136" s="482"/>
      <c r="AN136" s="482"/>
      <c r="AO136" s="482"/>
      <c r="AP136" s="482"/>
      <c r="AQ136" s="482"/>
      <c r="AR136" s="482"/>
      <c r="AS136" s="482"/>
      <c r="AT136" s="482"/>
      <c r="AU136" s="482"/>
      <c r="AV136" s="482"/>
      <c r="AW136" s="483"/>
      <c r="AX136" s="484">
        <f t="shared" si="41"/>
        <v>0</v>
      </c>
      <c r="AY136" s="501" t="str">
        <f t="shared" ref="AY136:AY199" si="65">IFERROR(L136*AX136,"")</f>
        <v/>
      </c>
      <c r="AZ136" s="488">
        <f t="shared" ref="AZ136:AZ199" si="66">AX136*O136</f>
        <v>0</v>
      </c>
    </row>
    <row r="137" spans="1:52" s="57" customFormat="1" ht="24.9" customHeight="1" x14ac:dyDescent="0.25">
      <c r="A137" s="425" t="s">
        <v>361</v>
      </c>
      <c r="B137" s="97" t="s">
        <v>111</v>
      </c>
      <c r="C137" s="97" t="s">
        <v>501</v>
      </c>
      <c r="D137" s="145" t="s">
        <v>502</v>
      </c>
      <c r="E137" s="230" t="s">
        <v>253</v>
      </c>
      <c r="F137" s="414" t="s">
        <v>667</v>
      </c>
      <c r="G137" s="127">
        <v>22.78</v>
      </c>
      <c r="H137" s="303" t="str">
        <f>VLOOKUP($F137,'Leistungswerte UHR Schulen'!$C$6:$F$38,3,FALSE)</f>
        <v>W3</v>
      </c>
      <c r="I137" s="328">
        <f>VLOOKUP(H137,Turnus!$D$9:$E$26,2,FALSE)</f>
        <v>114.53571428571426</v>
      </c>
      <c r="J137" s="127">
        <f t="shared" si="18"/>
        <v>2609.1235714285713</v>
      </c>
      <c r="K137" s="128">
        <f>VLOOKUP($F137,'Leistungswerte UHR Schulen'!$C$6:$F$38,4,FALSE)</f>
        <v>0</v>
      </c>
      <c r="L137" s="496" t="str">
        <f t="shared" si="40"/>
        <v/>
      </c>
      <c r="M137" s="129">
        <f t="shared" si="19"/>
        <v>0</v>
      </c>
      <c r="N137" s="547">
        <f t="shared" si="29"/>
        <v>0</v>
      </c>
      <c r="O137" s="130">
        <f t="shared" si="20"/>
        <v>0</v>
      </c>
      <c r="P137" s="131">
        <f t="shared" si="64"/>
        <v>0</v>
      </c>
      <c r="Q137" s="578">
        <f t="shared" ref="Q137:Q200" si="67">IF(A137="Schule",1,IF(A137="Sporthalle",1,2))</f>
        <v>1</v>
      </c>
      <c r="R137" s="587"/>
      <c r="S137" s="482"/>
      <c r="T137" s="482"/>
      <c r="U137" s="482"/>
      <c r="V137" s="482"/>
      <c r="W137" s="482"/>
      <c r="X137" s="482"/>
      <c r="Y137" s="482"/>
      <c r="Z137" s="482"/>
      <c r="AA137" s="482"/>
      <c r="AB137" s="482"/>
      <c r="AC137" s="482"/>
      <c r="AD137" s="482"/>
      <c r="AE137" s="482"/>
      <c r="AF137" s="482"/>
      <c r="AG137" s="482"/>
      <c r="AH137" s="482"/>
      <c r="AI137" s="482"/>
      <c r="AJ137" s="482"/>
      <c r="AK137" s="482"/>
      <c r="AL137" s="482"/>
      <c r="AM137" s="482"/>
      <c r="AN137" s="482"/>
      <c r="AO137" s="482"/>
      <c r="AP137" s="482"/>
      <c r="AQ137" s="482"/>
      <c r="AR137" s="482"/>
      <c r="AS137" s="482"/>
      <c r="AT137" s="482"/>
      <c r="AU137" s="482"/>
      <c r="AV137" s="482"/>
      <c r="AW137" s="483"/>
      <c r="AX137" s="484">
        <f t="shared" si="41"/>
        <v>0</v>
      </c>
      <c r="AY137" s="501" t="str">
        <f t="shared" si="65"/>
        <v/>
      </c>
      <c r="AZ137" s="488">
        <f t="shared" si="66"/>
        <v>0</v>
      </c>
    </row>
    <row r="138" spans="1:52" s="57" customFormat="1" ht="24.9" customHeight="1" x14ac:dyDescent="0.25">
      <c r="A138" s="425" t="s">
        <v>361</v>
      </c>
      <c r="B138" s="97" t="s">
        <v>111</v>
      </c>
      <c r="C138" s="97" t="s">
        <v>503</v>
      </c>
      <c r="D138" s="145" t="s">
        <v>717</v>
      </c>
      <c r="E138" s="230" t="s">
        <v>253</v>
      </c>
      <c r="F138" s="414" t="s">
        <v>667</v>
      </c>
      <c r="G138" s="127">
        <v>16.96</v>
      </c>
      <c r="H138" s="303" t="str">
        <f>VLOOKUP($F138,'Leistungswerte UHR Schulen'!$C$6:$F$38,3,FALSE)</f>
        <v>W3</v>
      </c>
      <c r="I138" s="328">
        <f>VLOOKUP(H138,Turnus!$D$9:$E$26,2,FALSE)</f>
        <v>114.53571428571426</v>
      </c>
      <c r="J138" s="127">
        <f t="shared" si="18"/>
        <v>1942.525714285714</v>
      </c>
      <c r="K138" s="128">
        <f>VLOOKUP($F138,'Leistungswerte UHR Schulen'!$C$6:$F$38,4,FALSE)</f>
        <v>0</v>
      </c>
      <c r="L138" s="496" t="str">
        <f t="shared" ref="L138:L203" si="68">IFERROR(G138/K138,"")</f>
        <v/>
      </c>
      <c r="M138" s="129">
        <f t="shared" si="19"/>
        <v>0</v>
      </c>
      <c r="N138" s="547">
        <f t="shared" si="29"/>
        <v>0</v>
      </c>
      <c r="O138" s="130">
        <f t="shared" si="20"/>
        <v>0</v>
      </c>
      <c r="P138" s="131">
        <f t="shared" si="64"/>
        <v>0</v>
      </c>
      <c r="Q138" s="578">
        <f t="shared" si="67"/>
        <v>1</v>
      </c>
      <c r="R138" s="587"/>
      <c r="S138" s="482"/>
      <c r="T138" s="482"/>
      <c r="U138" s="482"/>
      <c r="V138" s="482"/>
      <c r="W138" s="482"/>
      <c r="X138" s="482"/>
      <c r="Y138" s="482"/>
      <c r="Z138" s="482"/>
      <c r="AA138" s="482"/>
      <c r="AB138" s="482"/>
      <c r="AC138" s="482"/>
      <c r="AD138" s="482"/>
      <c r="AE138" s="482"/>
      <c r="AF138" s="482"/>
      <c r="AG138" s="482"/>
      <c r="AH138" s="482"/>
      <c r="AI138" s="482"/>
      <c r="AJ138" s="482"/>
      <c r="AK138" s="482"/>
      <c r="AL138" s="482"/>
      <c r="AM138" s="482"/>
      <c r="AN138" s="482"/>
      <c r="AO138" s="482"/>
      <c r="AP138" s="482"/>
      <c r="AQ138" s="482"/>
      <c r="AR138" s="482"/>
      <c r="AS138" s="482"/>
      <c r="AT138" s="482"/>
      <c r="AU138" s="482"/>
      <c r="AV138" s="482"/>
      <c r="AW138" s="483"/>
      <c r="AX138" s="484">
        <f t="shared" ref="AX138:AX203" si="69">SUM(S138:AW138)</f>
        <v>0</v>
      </c>
      <c r="AY138" s="501" t="str">
        <f t="shared" si="65"/>
        <v/>
      </c>
      <c r="AZ138" s="488">
        <f t="shared" si="66"/>
        <v>0</v>
      </c>
    </row>
    <row r="139" spans="1:52" s="57" customFormat="1" ht="24.9" customHeight="1" x14ac:dyDescent="0.25">
      <c r="A139" s="425" t="s">
        <v>361</v>
      </c>
      <c r="B139" s="97" t="s">
        <v>111</v>
      </c>
      <c r="C139" s="97" t="s">
        <v>504</v>
      </c>
      <c r="D139" s="145" t="s">
        <v>382</v>
      </c>
      <c r="E139" s="230" t="s">
        <v>171</v>
      </c>
      <c r="F139" s="414" t="s">
        <v>670</v>
      </c>
      <c r="G139" s="127">
        <v>3.3</v>
      </c>
      <c r="H139" s="303" t="str">
        <f>VLOOKUP($F139,'Leistungswerte UHR Schulen'!$C$6:$F$38,3,FALSE)</f>
        <v>W5</v>
      </c>
      <c r="I139" s="328">
        <f>VLOOKUP(H139,Turnus!$D$9:$E$26,2,FALSE)</f>
        <v>188.46428571428572</v>
      </c>
      <c r="J139" s="127">
        <f t="shared" si="18"/>
        <v>621.93214285714282</v>
      </c>
      <c r="K139" s="128">
        <f>VLOOKUP($F139,'Leistungswerte UHR Schulen'!$C$6:$F$38,4,FALSE)</f>
        <v>0</v>
      </c>
      <c r="L139" s="496" t="str">
        <f t="shared" si="68"/>
        <v/>
      </c>
      <c r="M139" s="129">
        <f t="shared" si="19"/>
        <v>0</v>
      </c>
      <c r="N139" s="547">
        <f t="shared" si="29"/>
        <v>0</v>
      </c>
      <c r="O139" s="130">
        <f t="shared" si="20"/>
        <v>0</v>
      </c>
      <c r="P139" s="131">
        <f t="shared" si="64"/>
        <v>0</v>
      </c>
      <c r="Q139" s="578">
        <f t="shared" si="67"/>
        <v>1</v>
      </c>
      <c r="R139" s="587"/>
      <c r="S139" s="482"/>
      <c r="T139" s="482"/>
      <c r="U139" s="482"/>
      <c r="V139" s="482"/>
      <c r="W139" s="482"/>
      <c r="X139" s="482"/>
      <c r="Y139" s="482"/>
      <c r="Z139" s="482"/>
      <c r="AA139" s="482"/>
      <c r="AB139" s="482"/>
      <c r="AC139" s="482"/>
      <c r="AD139" s="482"/>
      <c r="AE139" s="482"/>
      <c r="AF139" s="482"/>
      <c r="AG139" s="482"/>
      <c r="AH139" s="482"/>
      <c r="AI139" s="482"/>
      <c r="AJ139" s="482"/>
      <c r="AK139" s="482"/>
      <c r="AL139" s="482"/>
      <c r="AM139" s="482"/>
      <c r="AN139" s="482"/>
      <c r="AO139" s="482"/>
      <c r="AP139" s="482"/>
      <c r="AQ139" s="482"/>
      <c r="AR139" s="482"/>
      <c r="AS139" s="482"/>
      <c r="AT139" s="482"/>
      <c r="AU139" s="482"/>
      <c r="AV139" s="482"/>
      <c r="AW139" s="483"/>
      <c r="AX139" s="484">
        <f t="shared" si="69"/>
        <v>0</v>
      </c>
      <c r="AY139" s="501" t="str">
        <f t="shared" si="65"/>
        <v/>
      </c>
      <c r="AZ139" s="488">
        <f t="shared" si="66"/>
        <v>0</v>
      </c>
    </row>
    <row r="140" spans="1:52" s="57" customFormat="1" ht="24.9" customHeight="1" x14ac:dyDescent="0.25">
      <c r="A140" s="425" t="s">
        <v>361</v>
      </c>
      <c r="B140" s="97" t="s">
        <v>111</v>
      </c>
      <c r="C140" s="97" t="s">
        <v>505</v>
      </c>
      <c r="D140" s="145" t="s">
        <v>382</v>
      </c>
      <c r="E140" s="230" t="s">
        <v>171</v>
      </c>
      <c r="F140" s="414" t="s">
        <v>670</v>
      </c>
      <c r="G140" s="127">
        <v>3.3</v>
      </c>
      <c r="H140" s="303" t="str">
        <f>VLOOKUP($F140,'Leistungswerte UHR Schulen'!$C$6:$F$38,3,FALSE)</f>
        <v>W5</v>
      </c>
      <c r="I140" s="328">
        <f>VLOOKUP(H140,Turnus!$D$9:$E$26,2,FALSE)</f>
        <v>188.46428571428572</v>
      </c>
      <c r="J140" s="127">
        <f t="shared" si="18"/>
        <v>621.93214285714282</v>
      </c>
      <c r="K140" s="128">
        <f>VLOOKUP($F140,'Leistungswerte UHR Schulen'!$C$6:$F$38,4,FALSE)</f>
        <v>0</v>
      </c>
      <c r="L140" s="496" t="str">
        <f t="shared" si="68"/>
        <v/>
      </c>
      <c r="M140" s="129">
        <f t="shared" si="19"/>
        <v>0</v>
      </c>
      <c r="N140" s="547">
        <f t="shared" si="29"/>
        <v>0</v>
      </c>
      <c r="O140" s="130">
        <f t="shared" si="20"/>
        <v>0</v>
      </c>
      <c r="P140" s="131">
        <f t="shared" si="64"/>
        <v>0</v>
      </c>
      <c r="Q140" s="578">
        <f t="shared" si="67"/>
        <v>1</v>
      </c>
      <c r="R140" s="587"/>
      <c r="S140" s="482"/>
      <c r="T140" s="482"/>
      <c r="U140" s="482"/>
      <c r="V140" s="482"/>
      <c r="W140" s="482"/>
      <c r="X140" s="482"/>
      <c r="Y140" s="482"/>
      <c r="Z140" s="482"/>
      <c r="AA140" s="482"/>
      <c r="AB140" s="482"/>
      <c r="AC140" s="482"/>
      <c r="AD140" s="482"/>
      <c r="AE140" s="482"/>
      <c r="AF140" s="482"/>
      <c r="AG140" s="482"/>
      <c r="AH140" s="482"/>
      <c r="AI140" s="482"/>
      <c r="AJ140" s="482"/>
      <c r="AK140" s="482"/>
      <c r="AL140" s="482"/>
      <c r="AM140" s="482"/>
      <c r="AN140" s="482"/>
      <c r="AO140" s="482"/>
      <c r="AP140" s="482"/>
      <c r="AQ140" s="482"/>
      <c r="AR140" s="482"/>
      <c r="AS140" s="482"/>
      <c r="AT140" s="482"/>
      <c r="AU140" s="482"/>
      <c r="AV140" s="482"/>
      <c r="AW140" s="483"/>
      <c r="AX140" s="484">
        <f t="shared" si="69"/>
        <v>0</v>
      </c>
      <c r="AY140" s="501" t="str">
        <f t="shared" si="65"/>
        <v/>
      </c>
      <c r="AZ140" s="488">
        <f t="shared" si="66"/>
        <v>0</v>
      </c>
    </row>
    <row r="141" spans="1:52" s="57" customFormat="1" ht="24.9" customHeight="1" x14ac:dyDescent="0.25">
      <c r="A141" s="425" t="s">
        <v>361</v>
      </c>
      <c r="B141" s="97" t="s">
        <v>111</v>
      </c>
      <c r="C141" s="97" t="s">
        <v>506</v>
      </c>
      <c r="D141" s="145" t="s">
        <v>258</v>
      </c>
      <c r="E141" s="230" t="s">
        <v>253</v>
      </c>
      <c r="F141" s="414" t="s">
        <v>895</v>
      </c>
      <c r="G141" s="127">
        <v>13.97</v>
      </c>
      <c r="H141" s="303" t="str">
        <f>VLOOKUP($F141,'Leistungswerte UHR Schulen'!$C$6:$F$38,3,FALSE)</f>
        <v>W3</v>
      </c>
      <c r="I141" s="328">
        <f>VLOOKUP(H141,Turnus!$D$9:$E$26,2,FALSE)</f>
        <v>114.53571428571426</v>
      </c>
      <c r="J141" s="127">
        <f t="shared" si="18"/>
        <v>1600.0639285714283</v>
      </c>
      <c r="K141" s="128">
        <f>VLOOKUP($F141,'Leistungswerte UHR Schulen'!$C$6:$F$38,4,FALSE)</f>
        <v>0</v>
      </c>
      <c r="L141" s="496" t="str">
        <f t="shared" si="68"/>
        <v/>
      </c>
      <c r="M141" s="129">
        <f t="shared" si="19"/>
        <v>0</v>
      </c>
      <c r="N141" s="547">
        <f t="shared" si="29"/>
        <v>0</v>
      </c>
      <c r="O141" s="130">
        <f t="shared" si="20"/>
        <v>0</v>
      </c>
      <c r="P141" s="131">
        <f t="shared" si="64"/>
        <v>0</v>
      </c>
      <c r="Q141" s="578">
        <f t="shared" si="67"/>
        <v>1</v>
      </c>
      <c r="R141" s="587"/>
      <c r="S141" s="482"/>
      <c r="T141" s="482"/>
      <c r="U141" s="482"/>
      <c r="V141" s="482"/>
      <c r="W141" s="482"/>
      <c r="X141" s="482"/>
      <c r="Y141" s="482"/>
      <c r="Z141" s="482"/>
      <c r="AA141" s="482"/>
      <c r="AB141" s="482"/>
      <c r="AC141" s="482"/>
      <c r="AD141" s="482"/>
      <c r="AE141" s="482"/>
      <c r="AF141" s="482"/>
      <c r="AG141" s="482"/>
      <c r="AH141" s="482"/>
      <c r="AI141" s="482"/>
      <c r="AJ141" s="482"/>
      <c r="AK141" s="482"/>
      <c r="AL141" s="482"/>
      <c r="AM141" s="482"/>
      <c r="AN141" s="482"/>
      <c r="AO141" s="482"/>
      <c r="AP141" s="482"/>
      <c r="AQ141" s="482"/>
      <c r="AR141" s="482"/>
      <c r="AS141" s="482"/>
      <c r="AT141" s="482"/>
      <c r="AU141" s="482"/>
      <c r="AV141" s="482"/>
      <c r="AW141" s="483"/>
      <c r="AX141" s="484">
        <f t="shared" si="69"/>
        <v>0</v>
      </c>
      <c r="AY141" s="501" t="str">
        <f t="shared" si="65"/>
        <v/>
      </c>
      <c r="AZ141" s="488">
        <f t="shared" si="66"/>
        <v>0</v>
      </c>
    </row>
    <row r="142" spans="1:52" s="57" customFormat="1" ht="24.9" customHeight="1" x14ac:dyDescent="0.25">
      <c r="A142" s="425" t="s">
        <v>361</v>
      </c>
      <c r="B142" s="97" t="s">
        <v>111</v>
      </c>
      <c r="C142" s="97" t="s">
        <v>544</v>
      </c>
      <c r="D142" s="145" t="s">
        <v>266</v>
      </c>
      <c r="E142" s="230" t="s">
        <v>619</v>
      </c>
      <c r="F142" s="414" t="s">
        <v>708</v>
      </c>
      <c r="G142" s="127">
        <v>36.44</v>
      </c>
      <c r="H142" s="303" t="str">
        <f>VLOOKUP($F142,'Leistungswerte UHR Schulen'!$C$6:$F$38,3,FALSE)</f>
        <v>kR</v>
      </c>
      <c r="I142" s="328">
        <f>VLOOKUP(H142,Turnus!$D$9:$E$26,2,FALSE)</f>
        <v>0</v>
      </c>
      <c r="J142" s="127">
        <f>+G142*I142</f>
        <v>0</v>
      </c>
      <c r="K142" s="128">
        <f>VLOOKUP($F142,'Leistungswerte UHR Schulen'!$C$6:$F$38,4,FALSE)</f>
        <v>0</v>
      </c>
      <c r="L142" s="496" t="str">
        <f t="shared" si="68"/>
        <v/>
      </c>
      <c r="M142" s="129">
        <f>IF(ISERROR(J142/K142),0,J142/K142)</f>
        <v>0</v>
      </c>
      <c r="N142" s="547">
        <f t="shared" si="54"/>
        <v>0</v>
      </c>
      <c r="O142" s="130">
        <f>IF(ISERROR(G142/K142*N142),0,G142/K142*N142)</f>
        <v>0</v>
      </c>
      <c r="P142" s="131">
        <f t="shared" si="64"/>
        <v>0</v>
      </c>
      <c r="Q142" s="578">
        <f t="shared" si="67"/>
        <v>1</v>
      </c>
      <c r="R142" s="587"/>
      <c r="S142" s="482"/>
      <c r="T142" s="482"/>
      <c r="U142" s="482"/>
      <c r="V142" s="482"/>
      <c r="W142" s="482"/>
      <c r="X142" s="482"/>
      <c r="Y142" s="482"/>
      <c r="Z142" s="482"/>
      <c r="AA142" s="482"/>
      <c r="AB142" s="482"/>
      <c r="AC142" s="482"/>
      <c r="AD142" s="482"/>
      <c r="AE142" s="482"/>
      <c r="AF142" s="482"/>
      <c r="AG142" s="482"/>
      <c r="AH142" s="482"/>
      <c r="AI142" s="482"/>
      <c r="AJ142" s="482"/>
      <c r="AK142" s="482"/>
      <c r="AL142" s="482"/>
      <c r="AM142" s="482"/>
      <c r="AN142" s="482"/>
      <c r="AO142" s="482"/>
      <c r="AP142" s="482"/>
      <c r="AQ142" s="482"/>
      <c r="AR142" s="482"/>
      <c r="AS142" s="482"/>
      <c r="AT142" s="482"/>
      <c r="AU142" s="482"/>
      <c r="AV142" s="482"/>
      <c r="AW142" s="483"/>
      <c r="AX142" s="484">
        <f t="shared" si="69"/>
        <v>0</v>
      </c>
      <c r="AY142" s="501" t="str">
        <f t="shared" si="65"/>
        <v/>
      </c>
      <c r="AZ142" s="488">
        <f t="shared" si="66"/>
        <v>0</v>
      </c>
    </row>
    <row r="143" spans="1:52" s="57" customFormat="1" ht="24.9" customHeight="1" x14ac:dyDescent="0.25">
      <c r="A143" s="425" t="s">
        <v>361</v>
      </c>
      <c r="B143" s="97" t="s">
        <v>111</v>
      </c>
      <c r="C143" s="97" t="s">
        <v>535</v>
      </c>
      <c r="D143" s="145" t="s">
        <v>102</v>
      </c>
      <c r="E143" s="230" t="s">
        <v>253</v>
      </c>
      <c r="F143" s="414" t="s">
        <v>676</v>
      </c>
      <c r="G143" s="127">
        <v>22.93</v>
      </c>
      <c r="H143" s="303" t="str">
        <f>VLOOKUP($F143,'Leistungswerte UHR Schulen'!$C$6:$F$38,3,FALSE)</f>
        <v>W5</v>
      </c>
      <c r="I143" s="328">
        <f>VLOOKUP(H143,Turnus!$D$9:$E$26,2,FALSE)</f>
        <v>188.46428571428572</v>
      </c>
      <c r="J143" s="127">
        <f>+G143*I143</f>
        <v>4321.4860714285714</v>
      </c>
      <c r="K143" s="128">
        <f>VLOOKUP($F143,'Leistungswerte UHR Schulen'!$C$6:$F$38,4,FALSE)</f>
        <v>0</v>
      </c>
      <c r="L143" s="496" t="str">
        <f t="shared" si="68"/>
        <v/>
      </c>
      <c r="M143" s="129">
        <f>IF(ISERROR(J143/K143),0,J143/K143)</f>
        <v>0</v>
      </c>
      <c r="N143" s="547">
        <f t="shared" si="54"/>
        <v>0</v>
      </c>
      <c r="O143" s="130">
        <f>IF(ISERROR(G143/K143*N143),0,G143/K143*N143)</f>
        <v>0</v>
      </c>
      <c r="P143" s="131">
        <f t="shared" si="64"/>
        <v>0</v>
      </c>
      <c r="Q143" s="578">
        <f t="shared" si="67"/>
        <v>1</v>
      </c>
      <c r="R143" s="587"/>
      <c r="S143" s="482"/>
      <c r="T143" s="482"/>
      <c r="U143" s="482"/>
      <c r="V143" s="482"/>
      <c r="W143" s="482"/>
      <c r="X143" s="482"/>
      <c r="Y143" s="482"/>
      <c r="Z143" s="482"/>
      <c r="AA143" s="482"/>
      <c r="AB143" s="482"/>
      <c r="AC143" s="482"/>
      <c r="AD143" s="482"/>
      <c r="AE143" s="482"/>
      <c r="AF143" s="482"/>
      <c r="AG143" s="482"/>
      <c r="AH143" s="482"/>
      <c r="AI143" s="482"/>
      <c r="AJ143" s="482"/>
      <c r="AK143" s="482"/>
      <c r="AL143" s="482"/>
      <c r="AM143" s="482"/>
      <c r="AN143" s="482"/>
      <c r="AO143" s="482"/>
      <c r="AP143" s="482"/>
      <c r="AQ143" s="482"/>
      <c r="AR143" s="482"/>
      <c r="AS143" s="482"/>
      <c r="AT143" s="482"/>
      <c r="AU143" s="482"/>
      <c r="AV143" s="482"/>
      <c r="AW143" s="483"/>
      <c r="AX143" s="484">
        <f t="shared" si="69"/>
        <v>0</v>
      </c>
      <c r="AY143" s="501" t="str">
        <f t="shared" si="65"/>
        <v/>
      </c>
      <c r="AZ143" s="488">
        <f t="shared" si="66"/>
        <v>0</v>
      </c>
    </row>
    <row r="144" spans="1:52" s="57" customFormat="1" ht="24.9" customHeight="1" x14ac:dyDescent="0.25">
      <c r="A144" s="425" t="s">
        <v>361</v>
      </c>
      <c r="B144" s="97" t="s">
        <v>111</v>
      </c>
      <c r="C144" s="97" t="s">
        <v>536</v>
      </c>
      <c r="D144" s="145" t="s">
        <v>102</v>
      </c>
      <c r="E144" s="230" t="s">
        <v>253</v>
      </c>
      <c r="F144" s="414" t="s">
        <v>676</v>
      </c>
      <c r="G144" s="127">
        <v>70.260000000000005</v>
      </c>
      <c r="H144" s="303" t="str">
        <f>VLOOKUP($F144,'Leistungswerte UHR Schulen'!$C$6:$F$38,3,FALSE)</f>
        <v>W5</v>
      </c>
      <c r="I144" s="328">
        <f>VLOOKUP(H144,Turnus!$D$9:$E$26,2,FALSE)</f>
        <v>188.46428571428572</v>
      </c>
      <c r="J144" s="127">
        <f>+G144*I144</f>
        <v>13241.500714285716</v>
      </c>
      <c r="K144" s="128">
        <f>VLOOKUP($F144,'Leistungswerte UHR Schulen'!$C$6:$F$38,4,FALSE)</f>
        <v>0</v>
      </c>
      <c r="L144" s="496" t="str">
        <f t="shared" si="68"/>
        <v/>
      </c>
      <c r="M144" s="129">
        <f>IF(ISERROR(J144/K144),0,J144/K144)</f>
        <v>0</v>
      </c>
      <c r="N144" s="547">
        <f t="shared" si="54"/>
        <v>0</v>
      </c>
      <c r="O144" s="130">
        <f>IF(ISERROR(G144/K144*N144),0,G144/K144*N144)</f>
        <v>0</v>
      </c>
      <c r="P144" s="131">
        <f t="shared" si="64"/>
        <v>0</v>
      </c>
      <c r="Q144" s="578">
        <f t="shared" si="67"/>
        <v>1</v>
      </c>
      <c r="R144" s="587"/>
      <c r="S144" s="482"/>
      <c r="T144" s="482"/>
      <c r="U144" s="482"/>
      <c r="V144" s="482"/>
      <c r="W144" s="482"/>
      <c r="X144" s="482"/>
      <c r="Y144" s="482"/>
      <c r="Z144" s="482"/>
      <c r="AA144" s="482"/>
      <c r="AB144" s="482"/>
      <c r="AC144" s="482"/>
      <c r="AD144" s="482"/>
      <c r="AE144" s="482"/>
      <c r="AF144" s="482"/>
      <c r="AG144" s="482"/>
      <c r="AH144" s="482"/>
      <c r="AI144" s="482"/>
      <c r="AJ144" s="482"/>
      <c r="AK144" s="482"/>
      <c r="AL144" s="482"/>
      <c r="AM144" s="482"/>
      <c r="AN144" s="482"/>
      <c r="AO144" s="482"/>
      <c r="AP144" s="482"/>
      <c r="AQ144" s="482"/>
      <c r="AR144" s="482"/>
      <c r="AS144" s="482"/>
      <c r="AT144" s="482"/>
      <c r="AU144" s="482"/>
      <c r="AV144" s="482"/>
      <c r="AW144" s="483"/>
      <c r="AX144" s="484">
        <f t="shared" si="69"/>
        <v>0</v>
      </c>
      <c r="AY144" s="501" t="str">
        <f t="shared" si="65"/>
        <v/>
      </c>
      <c r="AZ144" s="488">
        <f t="shared" si="66"/>
        <v>0</v>
      </c>
    </row>
    <row r="145" spans="1:52" s="57" customFormat="1" ht="24.9" customHeight="1" x14ac:dyDescent="0.25">
      <c r="A145" s="425" t="s">
        <v>361</v>
      </c>
      <c r="B145" s="97" t="s">
        <v>111</v>
      </c>
      <c r="C145" s="97" t="s">
        <v>507</v>
      </c>
      <c r="D145" s="145" t="s">
        <v>318</v>
      </c>
      <c r="E145" s="230" t="s">
        <v>253</v>
      </c>
      <c r="F145" s="414" t="s">
        <v>893</v>
      </c>
      <c r="G145" s="127">
        <v>74.55</v>
      </c>
      <c r="H145" s="303" t="str">
        <f>VLOOKUP($F145,'Leistungswerte UHR Schulen'!$C$6:$F$38,3,FALSE)</f>
        <v>W3</v>
      </c>
      <c r="I145" s="328">
        <f>VLOOKUP(H145,Turnus!$D$9:$E$26,2,FALSE)</f>
        <v>114.53571428571426</v>
      </c>
      <c r="J145" s="127">
        <f t="shared" si="18"/>
        <v>8538.6374999999989</v>
      </c>
      <c r="K145" s="128">
        <f>VLOOKUP($F145,'Leistungswerte UHR Schulen'!$C$6:$F$38,4,FALSE)</f>
        <v>0</v>
      </c>
      <c r="L145" s="496" t="str">
        <f t="shared" si="68"/>
        <v/>
      </c>
      <c r="M145" s="129">
        <f t="shared" si="19"/>
        <v>0</v>
      </c>
      <c r="N145" s="547">
        <f t="shared" si="29"/>
        <v>0</v>
      </c>
      <c r="O145" s="130">
        <f t="shared" si="20"/>
        <v>0</v>
      </c>
      <c r="P145" s="131">
        <f t="shared" si="64"/>
        <v>0</v>
      </c>
      <c r="Q145" s="578">
        <f t="shared" si="67"/>
        <v>1</v>
      </c>
      <c r="R145" s="587"/>
      <c r="S145" s="482"/>
      <c r="T145" s="482"/>
      <c r="U145" s="482"/>
      <c r="V145" s="482"/>
      <c r="W145" s="482"/>
      <c r="X145" s="482"/>
      <c r="Y145" s="482"/>
      <c r="Z145" s="482"/>
      <c r="AA145" s="482"/>
      <c r="AB145" s="482"/>
      <c r="AC145" s="482"/>
      <c r="AD145" s="482"/>
      <c r="AE145" s="482"/>
      <c r="AF145" s="482"/>
      <c r="AG145" s="482"/>
      <c r="AH145" s="482"/>
      <c r="AI145" s="482"/>
      <c r="AJ145" s="482"/>
      <c r="AK145" s="482"/>
      <c r="AL145" s="482"/>
      <c r="AM145" s="482"/>
      <c r="AN145" s="482"/>
      <c r="AO145" s="482"/>
      <c r="AP145" s="482"/>
      <c r="AQ145" s="482"/>
      <c r="AR145" s="482"/>
      <c r="AS145" s="482"/>
      <c r="AT145" s="482"/>
      <c r="AU145" s="482"/>
      <c r="AV145" s="482"/>
      <c r="AW145" s="483"/>
      <c r="AX145" s="484">
        <f t="shared" si="69"/>
        <v>0</v>
      </c>
      <c r="AY145" s="501" t="str">
        <f t="shared" si="65"/>
        <v/>
      </c>
      <c r="AZ145" s="488">
        <f t="shared" si="66"/>
        <v>0</v>
      </c>
    </row>
    <row r="146" spans="1:52" s="57" customFormat="1" ht="24.9" customHeight="1" x14ac:dyDescent="0.25">
      <c r="A146" s="425" t="s">
        <v>361</v>
      </c>
      <c r="B146" s="97" t="s">
        <v>111</v>
      </c>
      <c r="C146" s="97" t="s">
        <v>508</v>
      </c>
      <c r="D146" s="145" t="s">
        <v>509</v>
      </c>
      <c r="E146" s="230" t="s">
        <v>253</v>
      </c>
      <c r="F146" s="414" t="s">
        <v>889</v>
      </c>
      <c r="G146" s="127">
        <v>28.88</v>
      </c>
      <c r="H146" s="303" t="str">
        <f>VLOOKUP($F146,'Leistungswerte UHR Schulen'!$C$6:$F$38,3,FALSE)</f>
        <v>W3</v>
      </c>
      <c r="I146" s="328">
        <f>VLOOKUP(H146,Turnus!$D$9:$E$26,2,FALSE)</f>
        <v>114.53571428571426</v>
      </c>
      <c r="J146" s="127">
        <f t="shared" si="18"/>
        <v>3307.7914285714278</v>
      </c>
      <c r="K146" s="128">
        <f>VLOOKUP($F146,'Leistungswerte UHR Schulen'!$C$6:$F$38,4,FALSE)</f>
        <v>0</v>
      </c>
      <c r="L146" s="496" t="str">
        <f t="shared" si="68"/>
        <v/>
      </c>
      <c r="M146" s="129">
        <f t="shared" si="19"/>
        <v>0</v>
      </c>
      <c r="N146" s="547">
        <f t="shared" si="29"/>
        <v>0</v>
      </c>
      <c r="O146" s="130">
        <f t="shared" si="20"/>
        <v>0</v>
      </c>
      <c r="P146" s="131">
        <f t="shared" si="64"/>
        <v>0</v>
      </c>
      <c r="Q146" s="578">
        <f t="shared" si="67"/>
        <v>1</v>
      </c>
      <c r="R146" s="587"/>
      <c r="S146" s="482"/>
      <c r="T146" s="482"/>
      <c r="U146" s="482"/>
      <c r="V146" s="482"/>
      <c r="W146" s="482"/>
      <c r="X146" s="482"/>
      <c r="Y146" s="482"/>
      <c r="Z146" s="482"/>
      <c r="AA146" s="482"/>
      <c r="AB146" s="482"/>
      <c r="AC146" s="482"/>
      <c r="AD146" s="482"/>
      <c r="AE146" s="482"/>
      <c r="AF146" s="482"/>
      <c r="AG146" s="482"/>
      <c r="AH146" s="482"/>
      <c r="AI146" s="482"/>
      <c r="AJ146" s="482"/>
      <c r="AK146" s="482"/>
      <c r="AL146" s="482"/>
      <c r="AM146" s="482"/>
      <c r="AN146" s="482"/>
      <c r="AO146" s="482"/>
      <c r="AP146" s="482"/>
      <c r="AQ146" s="482"/>
      <c r="AR146" s="482"/>
      <c r="AS146" s="482"/>
      <c r="AT146" s="482"/>
      <c r="AU146" s="482"/>
      <c r="AV146" s="482"/>
      <c r="AW146" s="483"/>
      <c r="AX146" s="484">
        <f t="shared" si="69"/>
        <v>0</v>
      </c>
      <c r="AY146" s="501" t="str">
        <f t="shared" si="65"/>
        <v/>
      </c>
      <c r="AZ146" s="488">
        <f t="shared" si="66"/>
        <v>0</v>
      </c>
    </row>
    <row r="147" spans="1:52" s="57" customFormat="1" ht="24.9" customHeight="1" x14ac:dyDescent="0.25">
      <c r="A147" s="425" t="s">
        <v>361</v>
      </c>
      <c r="B147" s="97" t="s">
        <v>111</v>
      </c>
      <c r="C147" s="97" t="s">
        <v>510</v>
      </c>
      <c r="D147" s="145" t="s">
        <v>511</v>
      </c>
      <c r="E147" s="230" t="s">
        <v>253</v>
      </c>
      <c r="F147" s="414" t="s">
        <v>889</v>
      </c>
      <c r="G147" s="127">
        <v>25.4</v>
      </c>
      <c r="H147" s="303" t="str">
        <f>VLOOKUP($F147,'Leistungswerte UHR Schulen'!$C$6:$F$38,3,FALSE)</f>
        <v>W3</v>
      </c>
      <c r="I147" s="328">
        <f>VLOOKUP(H147,Turnus!$D$9:$E$26,2,FALSE)</f>
        <v>114.53571428571426</v>
      </c>
      <c r="J147" s="127">
        <f t="shared" si="18"/>
        <v>2909.2071428571421</v>
      </c>
      <c r="K147" s="128">
        <f>VLOOKUP($F147,'Leistungswerte UHR Schulen'!$C$6:$F$38,4,FALSE)</f>
        <v>0</v>
      </c>
      <c r="L147" s="496" t="str">
        <f t="shared" si="68"/>
        <v/>
      </c>
      <c r="M147" s="129">
        <f t="shared" si="19"/>
        <v>0</v>
      </c>
      <c r="N147" s="547">
        <f t="shared" si="29"/>
        <v>0</v>
      </c>
      <c r="O147" s="130">
        <f t="shared" si="20"/>
        <v>0</v>
      </c>
      <c r="P147" s="131">
        <f t="shared" si="64"/>
        <v>0</v>
      </c>
      <c r="Q147" s="578">
        <f t="shared" si="67"/>
        <v>1</v>
      </c>
      <c r="R147" s="587"/>
      <c r="S147" s="482"/>
      <c r="T147" s="482"/>
      <c r="U147" s="482"/>
      <c r="V147" s="482"/>
      <c r="W147" s="482"/>
      <c r="X147" s="482"/>
      <c r="Y147" s="482"/>
      <c r="Z147" s="482"/>
      <c r="AA147" s="482"/>
      <c r="AB147" s="482"/>
      <c r="AC147" s="482"/>
      <c r="AD147" s="482"/>
      <c r="AE147" s="482"/>
      <c r="AF147" s="482"/>
      <c r="AG147" s="482"/>
      <c r="AH147" s="482"/>
      <c r="AI147" s="482"/>
      <c r="AJ147" s="482"/>
      <c r="AK147" s="482"/>
      <c r="AL147" s="482"/>
      <c r="AM147" s="482"/>
      <c r="AN147" s="482"/>
      <c r="AO147" s="482"/>
      <c r="AP147" s="482"/>
      <c r="AQ147" s="482"/>
      <c r="AR147" s="482"/>
      <c r="AS147" s="482"/>
      <c r="AT147" s="482"/>
      <c r="AU147" s="482"/>
      <c r="AV147" s="482"/>
      <c r="AW147" s="483"/>
      <c r="AX147" s="484">
        <f t="shared" si="69"/>
        <v>0</v>
      </c>
      <c r="AY147" s="501" t="str">
        <f t="shared" si="65"/>
        <v/>
      </c>
      <c r="AZ147" s="488">
        <f t="shared" si="66"/>
        <v>0</v>
      </c>
    </row>
    <row r="148" spans="1:52" s="57" customFormat="1" ht="24.9" customHeight="1" x14ac:dyDescent="0.25">
      <c r="A148" s="425" t="s">
        <v>361</v>
      </c>
      <c r="B148" s="97" t="s">
        <v>111</v>
      </c>
      <c r="C148" s="97" t="s">
        <v>512</v>
      </c>
      <c r="D148" s="145" t="s">
        <v>275</v>
      </c>
      <c r="E148" s="230" t="s">
        <v>253</v>
      </c>
      <c r="F148" s="414" t="s">
        <v>895</v>
      </c>
      <c r="G148" s="127">
        <v>65.900000000000006</v>
      </c>
      <c r="H148" s="303" t="str">
        <f>VLOOKUP($F148,'Leistungswerte UHR Schulen'!$C$6:$F$38,3,FALSE)</f>
        <v>W3</v>
      </c>
      <c r="I148" s="328">
        <f>VLOOKUP(H148,Turnus!$D$9:$E$26,2,FALSE)</f>
        <v>114.53571428571426</v>
      </c>
      <c r="J148" s="127">
        <f t="shared" si="18"/>
        <v>7547.903571428571</v>
      </c>
      <c r="K148" s="128">
        <f>VLOOKUP($F148,'Leistungswerte UHR Schulen'!$C$6:$F$38,4,FALSE)</f>
        <v>0</v>
      </c>
      <c r="L148" s="496" t="str">
        <f t="shared" si="68"/>
        <v/>
      </c>
      <c r="M148" s="129">
        <f t="shared" si="19"/>
        <v>0</v>
      </c>
      <c r="N148" s="547">
        <f t="shared" si="29"/>
        <v>0</v>
      </c>
      <c r="O148" s="130">
        <f t="shared" si="20"/>
        <v>0</v>
      </c>
      <c r="P148" s="131">
        <f t="shared" si="64"/>
        <v>0</v>
      </c>
      <c r="Q148" s="578">
        <f t="shared" si="67"/>
        <v>1</v>
      </c>
      <c r="R148" s="587"/>
      <c r="S148" s="482"/>
      <c r="T148" s="482"/>
      <c r="U148" s="482"/>
      <c r="V148" s="482"/>
      <c r="W148" s="482"/>
      <c r="X148" s="482"/>
      <c r="Y148" s="482"/>
      <c r="Z148" s="482"/>
      <c r="AA148" s="482"/>
      <c r="AB148" s="482"/>
      <c r="AC148" s="482"/>
      <c r="AD148" s="482"/>
      <c r="AE148" s="482"/>
      <c r="AF148" s="482"/>
      <c r="AG148" s="482"/>
      <c r="AH148" s="482"/>
      <c r="AI148" s="482"/>
      <c r="AJ148" s="482"/>
      <c r="AK148" s="482"/>
      <c r="AL148" s="482"/>
      <c r="AM148" s="482"/>
      <c r="AN148" s="482"/>
      <c r="AO148" s="482"/>
      <c r="AP148" s="482"/>
      <c r="AQ148" s="482"/>
      <c r="AR148" s="482"/>
      <c r="AS148" s="482"/>
      <c r="AT148" s="482"/>
      <c r="AU148" s="482"/>
      <c r="AV148" s="482"/>
      <c r="AW148" s="483"/>
      <c r="AX148" s="484">
        <f t="shared" si="69"/>
        <v>0</v>
      </c>
      <c r="AY148" s="501" t="str">
        <f t="shared" si="65"/>
        <v/>
      </c>
      <c r="AZ148" s="488">
        <f t="shared" si="66"/>
        <v>0</v>
      </c>
    </row>
    <row r="149" spans="1:52" s="57" customFormat="1" ht="24.9" customHeight="1" x14ac:dyDescent="0.25">
      <c r="A149" s="424" t="s">
        <v>182</v>
      </c>
      <c r="B149" s="97" t="s">
        <v>111</v>
      </c>
      <c r="C149" s="97" t="s">
        <v>513</v>
      </c>
      <c r="D149" s="145" t="s">
        <v>514</v>
      </c>
      <c r="E149" s="230" t="s">
        <v>171</v>
      </c>
      <c r="F149" s="414" t="s">
        <v>666</v>
      </c>
      <c r="G149" s="127">
        <v>2.84</v>
      </c>
      <c r="H149" s="303" t="str">
        <f>VLOOKUP($F149,'Leistungswerte UHR Kigas'!$C$6:$F$32,3,FALSE)</f>
        <v>W5</v>
      </c>
      <c r="I149" s="328">
        <f>VLOOKUP(H149,Turnus!$H$9:$I$26,2,FALSE)</f>
        <v>230</v>
      </c>
      <c r="J149" s="127">
        <f t="shared" si="18"/>
        <v>653.19999999999993</v>
      </c>
      <c r="K149" s="128">
        <f>VLOOKUP($F149,'Leistungswerte UHR Kigas'!$C$6:$F$44,4,FALSE)</f>
        <v>0</v>
      </c>
      <c r="L149" s="496" t="str">
        <f t="shared" si="68"/>
        <v/>
      </c>
      <c r="M149" s="129">
        <f t="shared" si="19"/>
        <v>0</v>
      </c>
      <c r="N149" s="547">
        <f t="shared" si="29"/>
        <v>0</v>
      </c>
      <c r="O149" s="130">
        <f t="shared" si="20"/>
        <v>0</v>
      </c>
      <c r="P149" s="131">
        <f t="shared" si="64"/>
        <v>0</v>
      </c>
      <c r="Q149" s="578">
        <f t="shared" si="67"/>
        <v>2</v>
      </c>
      <c r="R149" s="587"/>
      <c r="S149" s="482"/>
      <c r="T149" s="482"/>
      <c r="U149" s="482"/>
      <c r="V149" s="482"/>
      <c r="W149" s="482"/>
      <c r="X149" s="482"/>
      <c r="Y149" s="482"/>
      <c r="Z149" s="482"/>
      <c r="AA149" s="482"/>
      <c r="AB149" s="482"/>
      <c r="AC149" s="482"/>
      <c r="AD149" s="482"/>
      <c r="AE149" s="482"/>
      <c r="AF149" s="482"/>
      <c r="AG149" s="482"/>
      <c r="AH149" s="482"/>
      <c r="AI149" s="482"/>
      <c r="AJ149" s="482"/>
      <c r="AK149" s="482"/>
      <c r="AL149" s="482"/>
      <c r="AM149" s="482"/>
      <c r="AN149" s="482"/>
      <c r="AO149" s="482"/>
      <c r="AP149" s="482"/>
      <c r="AQ149" s="482"/>
      <c r="AR149" s="482"/>
      <c r="AS149" s="482"/>
      <c r="AT149" s="482"/>
      <c r="AU149" s="482"/>
      <c r="AV149" s="482"/>
      <c r="AW149" s="483"/>
      <c r="AX149" s="484">
        <f t="shared" si="69"/>
        <v>0</v>
      </c>
      <c r="AY149" s="501" t="str">
        <f t="shared" si="65"/>
        <v/>
      </c>
      <c r="AZ149" s="488">
        <f t="shared" si="66"/>
        <v>0</v>
      </c>
    </row>
    <row r="150" spans="1:52" s="57" customFormat="1" ht="24.9" customHeight="1" x14ac:dyDescent="0.25">
      <c r="A150" s="424" t="s">
        <v>182</v>
      </c>
      <c r="B150" s="97" t="s">
        <v>111</v>
      </c>
      <c r="C150" s="97" t="s">
        <v>515</v>
      </c>
      <c r="D150" s="145" t="s">
        <v>516</v>
      </c>
      <c r="E150" s="230" t="s">
        <v>171</v>
      </c>
      <c r="F150" s="414" t="s">
        <v>671</v>
      </c>
      <c r="G150" s="127">
        <v>3.14</v>
      </c>
      <c r="H150" s="303" t="str">
        <f>VLOOKUP($F150,'Leistungswerte UHR Kigas'!$C$6:$F$32,3,FALSE)</f>
        <v>W5</v>
      </c>
      <c r="I150" s="328">
        <f>VLOOKUP(H150,Turnus!$H$9:$I$26,2,FALSE)</f>
        <v>230</v>
      </c>
      <c r="J150" s="127">
        <f t="shared" si="18"/>
        <v>722.2</v>
      </c>
      <c r="K150" s="128">
        <f>VLOOKUP($F150,'Leistungswerte UHR Kigas'!$C$6:$F$44,4,FALSE)</f>
        <v>0</v>
      </c>
      <c r="L150" s="496" t="str">
        <f t="shared" si="68"/>
        <v/>
      </c>
      <c r="M150" s="129">
        <f t="shared" si="19"/>
        <v>0</v>
      </c>
      <c r="N150" s="547">
        <f t="shared" si="29"/>
        <v>0</v>
      </c>
      <c r="O150" s="130">
        <f t="shared" si="20"/>
        <v>0</v>
      </c>
      <c r="P150" s="131">
        <f t="shared" si="64"/>
        <v>0</v>
      </c>
      <c r="Q150" s="578">
        <f t="shared" si="67"/>
        <v>2</v>
      </c>
      <c r="R150" s="587"/>
      <c r="S150" s="482"/>
      <c r="T150" s="482"/>
      <c r="U150" s="482"/>
      <c r="V150" s="482"/>
      <c r="W150" s="482"/>
      <c r="X150" s="482"/>
      <c r="Y150" s="482"/>
      <c r="Z150" s="482"/>
      <c r="AA150" s="482"/>
      <c r="AB150" s="482"/>
      <c r="AC150" s="482"/>
      <c r="AD150" s="482"/>
      <c r="AE150" s="482"/>
      <c r="AF150" s="482"/>
      <c r="AG150" s="482"/>
      <c r="AH150" s="482"/>
      <c r="AI150" s="482"/>
      <c r="AJ150" s="482"/>
      <c r="AK150" s="482"/>
      <c r="AL150" s="482"/>
      <c r="AM150" s="482"/>
      <c r="AN150" s="482"/>
      <c r="AO150" s="482"/>
      <c r="AP150" s="482"/>
      <c r="AQ150" s="482"/>
      <c r="AR150" s="482"/>
      <c r="AS150" s="482"/>
      <c r="AT150" s="482"/>
      <c r="AU150" s="482"/>
      <c r="AV150" s="482"/>
      <c r="AW150" s="483"/>
      <c r="AX150" s="484">
        <f t="shared" si="69"/>
        <v>0</v>
      </c>
      <c r="AY150" s="501" t="str">
        <f t="shared" si="65"/>
        <v/>
      </c>
      <c r="AZ150" s="488">
        <f t="shared" si="66"/>
        <v>0</v>
      </c>
    </row>
    <row r="151" spans="1:52" s="57" customFormat="1" ht="24.9" customHeight="1" x14ac:dyDescent="0.25">
      <c r="A151" s="424" t="s">
        <v>182</v>
      </c>
      <c r="B151" s="97" t="s">
        <v>111</v>
      </c>
      <c r="C151" s="97" t="s">
        <v>718</v>
      </c>
      <c r="D151" s="145" t="s">
        <v>719</v>
      </c>
      <c r="E151" s="230"/>
      <c r="F151" s="414" t="s">
        <v>708</v>
      </c>
      <c r="G151" s="127">
        <v>4.1399999999999997</v>
      </c>
      <c r="H151" s="303" t="str">
        <f>VLOOKUP($F151,'Leistungswerte UHR Kigas'!$C$6:$F$32,3,FALSE)</f>
        <v>kR</v>
      </c>
      <c r="I151" s="328">
        <f>VLOOKUP(H151,Turnus!$H$9:$I$26,2,FALSE)</f>
        <v>0</v>
      </c>
      <c r="J151" s="127">
        <f t="shared" ref="J151" si="70">+G151*I151</f>
        <v>0</v>
      </c>
      <c r="K151" s="128">
        <f>VLOOKUP($F151,'Leistungswerte UHR Kigas'!$C$6:$F$44,4,FALSE)</f>
        <v>0</v>
      </c>
      <c r="L151" s="496" t="str">
        <f t="shared" si="68"/>
        <v/>
      </c>
      <c r="M151" s="129">
        <f t="shared" ref="M151" si="71">IF(ISERROR(J151/K151),0,J151/K151)</f>
        <v>0</v>
      </c>
      <c r="N151" s="547">
        <f t="shared" si="29"/>
        <v>0</v>
      </c>
      <c r="O151" s="130">
        <f t="shared" ref="O151" si="72">IF(ISERROR(G151/K151*N151),0,G151/K151*N151)</f>
        <v>0</v>
      </c>
      <c r="P151" s="131">
        <f t="shared" si="64"/>
        <v>0</v>
      </c>
      <c r="Q151" s="578">
        <f t="shared" si="67"/>
        <v>2</v>
      </c>
      <c r="R151" s="587"/>
      <c r="S151" s="482"/>
      <c r="T151" s="482"/>
      <c r="U151" s="482"/>
      <c r="V151" s="482"/>
      <c r="W151" s="482"/>
      <c r="X151" s="482"/>
      <c r="Y151" s="482"/>
      <c r="Z151" s="482"/>
      <c r="AA151" s="482"/>
      <c r="AB151" s="482"/>
      <c r="AC151" s="482"/>
      <c r="AD151" s="482"/>
      <c r="AE151" s="482"/>
      <c r="AF151" s="482"/>
      <c r="AG151" s="482"/>
      <c r="AH151" s="482"/>
      <c r="AI151" s="482"/>
      <c r="AJ151" s="482"/>
      <c r="AK151" s="482"/>
      <c r="AL151" s="482"/>
      <c r="AM151" s="482"/>
      <c r="AN151" s="482"/>
      <c r="AO151" s="482"/>
      <c r="AP151" s="482"/>
      <c r="AQ151" s="482"/>
      <c r="AR151" s="482"/>
      <c r="AS151" s="482"/>
      <c r="AT151" s="482"/>
      <c r="AU151" s="482"/>
      <c r="AV151" s="482"/>
      <c r="AW151" s="483"/>
      <c r="AX151" s="484">
        <f t="shared" si="69"/>
        <v>0</v>
      </c>
      <c r="AY151" s="501" t="str">
        <f t="shared" si="65"/>
        <v/>
      </c>
      <c r="AZ151" s="488">
        <f t="shared" si="66"/>
        <v>0</v>
      </c>
    </row>
    <row r="152" spans="1:52" s="57" customFormat="1" ht="24.9" customHeight="1" x14ac:dyDescent="0.25">
      <c r="A152" s="424" t="s">
        <v>362</v>
      </c>
      <c r="B152" s="97" t="s">
        <v>111</v>
      </c>
      <c r="C152" s="97" t="s">
        <v>517</v>
      </c>
      <c r="D152" s="145" t="s">
        <v>518</v>
      </c>
      <c r="E152" s="230" t="s">
        <v>253</v>
      </c>
      <c r="F152" s="414" t="s">
        <v>894</v>
      </c>
      <c r="G152" s="127">
        <v>24.69</v>
      </c>
      <c r="H152" s="303" t="str">
        <f>VLOOKUP($F152,'Leistungswerte UHR Kigas'!$C$6:$F$32,3,FALSE)</f>
        <v>W5</v>
      </c>
      <c r="I152" s="328">
        <f>VLOOKUP(H152,Turnus!$H$9:$I$26,2,FALSE)</f>
        <v>230</v>
      </c>
      <c r="J152" s="127">
        <f>+G152*I152</f>
        <v>5678.7000000000007</v>
      </c>
      <c r="K152" s="128">
        <f>VLOOKUP($F152,'Leistungswerte UHR Kigas'!$C$6:$F$44,4,FALSE)</f>
        <v>0</v>
      </c>
      <c r="L152" s="496" t="str">
        <f t="shared" si="68"/>
        <v/>
      </c>
      <c r="M152" s="129">
        <f>IF(ISERROR(J152/K152),0,J152/K152)</f>
        <v>0</v>
      </c>
      <c r="N152" s="547">
        <f t="shared" si="29"/>
        <v>0</v>
      </c>
      <c r="O152" s="130">
        <f>IF(ISERROR(G152/K152*N152),0,G152/K152*N152)</f>
        <v>0</v>
      </c>
      <c r="P152" s="131">
        <f t="shared" si="64"/>
        <v>0</v>
      </c>
      <c r="Q152" s="578">
        <f t="shared" si="67"/>
        <v>2</v>
      </c>
      <c r="R152" s="587"/>
      <c r="S152" s="482"/>
      <c r="T152" s="482"/>
      <c r="U152" s="482"/>
      <c r="V152" s="482"/>
      <c r="W152" s="482"/>
      <c r="X152" s="482"/>
      <c r="Y152" s="482"/>
      <c r="Z152" s="482"/>
      <c r="AA152" s="482"/>
      <c r="AB152" s="482"/>
      <c r="AC152" s="482"/>
      <c r="AD152" s="482"/>
      <c r="AE152" s="482"/>
      <c r="AF152" s="482"/>
      <c r="AG152" s="482"/>
      <c r="AH152" s="482"/>
      <c r="AI152" s="482"/>
      <c r="AJ152" s="482"/>
      <c r="AK152" s="482"/>
      <c r="AL152" s="482"/>
      <c r="AM152" s="482"/>
      <c r="AN152" s="482"/>
      <c r="AO152" s="482"/>
      <c r="AP152" s="482"/>
      <c r="AQ152" s="482"/>
      <c r="AR152" s="482"/>
      <c r="AS152" s="482"/>
      <c r="AT152" s="482"/>
      <c r="AU152" s="482"/>
      <c r="AV152" s="482"/>
      <c r="AW152" s="483"/>
      <c r="AX152" s="484">
        <f t="shared" si="69"/>
        <v>0</v>
      </c>
      <c r="AY152" s="501" t="str">
        <f t="shared" si="65"/>
        <v/>
      </c>
      <c r="AZ152" s="488">
        <f t="shared" si="66"/>
        <v>0</v>
      </c>
    </row>
    <row r="153" spans="1:52" s="57" customFormat="1" ht="24.9" customHeight="1" x14ac:dyDescent="0.25">
      <c r="A153" s="424" t="s">
        <v>182</v>
      </c>
      <c r="B153" s="97" t="s">
        <v>111</v>
      </c>
      <c r="C153" s="97" t="s">
        <v>537</v>
      </c>
      <c r="D153" s="145" t="s">
        <v>102</v>
      </c>
      <c r="E153" s="230" t="s">
        <v>253</v>
      </c>
      <c r="F153" s="414" t="s">
        <v>676</v>
      </c>
      <c r="G153" s="127">
        <v>23.46</v>
      </c>
      <c r="H153" s="303" t="str">
        <f>VLOOKUP($F153,'Leistungswerte UHR Kigas'!$C$6:$F$32,3,FALSE)</f>
        <v>W5</v>
      </c>
      <c r="I153" s="328">
        <f>VLOOKUP(H153,Turnus!$H$9:$I$26,2,FALSE)</f>
        <v>230</v>
      </c>
      <c r="J153" s="127">
        <f>+G153*I153</f>
        <v>5395.8</v>
      </c>
      <c r="K153" s="128">
        <f>VLOOKUP($F153,'Leistungswerte UHR Kigas'!$C$6:$F$44,4,FALSE)</f>
        <v>0</v>
      </c>
      <c r="L153" s="496" t="str">
        <f t="shared" si="68"/>
        <v/>
      </c>
      <c r="M153" s="129">
        <f>IF(ISERROR(J153/K153),0,J153/K153)</f>
        <v>0</v>
      </c>
      <c r="N153" s="547">
        <f t="shared" si="54"/>
        <v>0</v>
      </c>
      <c r="O153" s="130">
        <f>IF(ISERROR(G153/K153*N153),0,G153/K153*N153)</f>
        <v>0</v>
      </c>
      <c r="P153" s="131">
        <f t="shared" si="64"/>
        <v>0</v>
      </c>
      <c r="Q153" s="578">
        <f t="shared" si="67"/>
        <v>2</v>
      </c>
      <c r="R153" s="587"/>
      <c r="S153" s="482"/>
      <c r="T153" s="482"/>
      <c r="U153" s="482"/>
      <c r="V153" s="482"/>
      <c r="W153" s="482"/>
      <c r="X153" s="482"/>
      <c r="Y153" s="482"/>
      <c r="Z153" s="482"/>
      <c r="AA153" s="482"/>
      <c r="AB153" s="482"/>
      <c r="AC153" s="482"/>
      <c r="AD153" s="482"/>
      <c r="AE153" s="482"/>
      <c r="AF153" s="482"/>
      <c r="AG153" s="482"/>
      <c r="AH153" s="482"/>
      <c r="AI153" s="482"/>
      <c r="AJ153" s="482"/>
      <c r="AK153" s="482"/>
      <c r="AL153" s="482"/>
      <c r="AM153" s="482"/>
      <c r="AN153" s="482"/>
      <c r="AO153" s="482"/>
      <c r="AP153" s="482"/>
      <c r="AQ153" s="482"/>
      <c r="AR153" s="482"/>
      <c r="AS153" s="482"/>
      <c r="AT153" s="482"/>
      <c r="AU153" s="482"/>
      <c r="AV153" s="482"/>
      <c r="AW153" s="483"/>
      <c r="AX153" s="484">
        <f t="shared" si="69"/>
        <v>0</v>
      </c>
      <c r="AY153" s="501" t="str">
        <f t="shared" si="65"/>
        <v/>
      </c>
      <c r="AZ153" s="488">
        <f t="shared" si="66"/>
        <v>0</v>
      </c>
    </row>
    <row r="154" spans="1:52" s="57" customFormat="1" ht="24.9" customHeight="1" x14ac:dyDescent="0.25">
      <c r="A154" s="424" t="s">
        <v>182</v>
      </c>
      <c r="B154" s="97" t="s">
        <v>111</v>
      </c>
      <c r="C154" s="97" t="s">
        <v>720</v>
      </c>
      <c r="D154" s="145" t="s">
        <v>166</v>
      </c>
      <c r="E154" s="230" t="s">
        <v>870</v>
      </c>
      <c r="F154" s="414" t="s">
        <v>708</v>
      </c>
      <c r="G154" s="127">
        <v>12.26</v>
      </c>
      <c r="H154" s="303" t="str">
        <f>VLOOKUP($F154,'Leistungswerte UHR Kigas'!$C$6:$F$32,3,FALSE)</f>
        <v>kR</v>
      </c>
      <c r="I154" s="328">
        <f>VLOOKUP(H154,Turnus!$H$9:$I$26,2,FALSE)</f>
        <v>0</v>
      </c>
      <c r="J154" s="127">
        <f t="shared" ref="J154" si="73">+G154*I154</f>
        <v>0</v>
      </c>
      <c r="K154" s="128">
        <f>VLOOKUP($F154,'Leistungswerte UHR Kigas'!$C$6:$F$44,4,FALSE)</f>
        <v>0</v>
      </c>
      <c r="L154" s="496" t="str">
        <f t="shared" si="68"/>
        <v/>
      </c>
      <c r="M154" s="129">
        <f t="shared" ref="M154" si="74">IF(ISERROR(J154/K154),0,J154/K154)</f>
        <v>0</v>
      </c>
      <c r="N154" s="547">
        <f t="shared" si="29"/>
        <v>0</v>
      </c>
      <c r="O154" s="130">
        <f t="shared" ref="O154" si="75">IF(ISERROR(G154/K154*N154),0,G154/K154*N154)</f>
        <v>0</v>
      </c>
      <c r="P154" s="131">
        <f t="shared" si="64"/>
        <v>0</v>
      </c>
      <c r="Q154" s="578">
        <f t="shared" si="67"/>
        <v>2</v>
      </c>
      <c r="R154" s="587"/>
      <c r="S154" s="482"/>
      <c r="T154" s="482"/>
      <c r="U154" s="482"/>
      <c r="V154" s="482"/>
      <c r="W154" s="482"/>
      <c r="X154" s="482"/>
      <c r="Y154" s="482"/>
      <c r="Z154" s="482"/>
      <c r="AA154" s="482"/>
      <c r="AB154" s="482"/>
      <c r="AC154" s="482"/>
      <c r="AD154" s="482"/>
      <c r="AE154" s="482"/>
      <c r="AF154" s="482"/>
      <c r="AG154" s="482"/>
      <c r="AH154" s="482"/>
      <c r="AI154" s="482"/>
      <c r="AJ154" s="482"/>
      <c r="AK154" s="482"/>
      <c r="AL154" s="482"/>
      <c r="AM154" s="482"/>
      <c r="AN154" s="482"/>
      <c r="AO154" s="482"/>
      <c r="AP154" s="482"/>
      <c r="AQ154" s="482"/>
      <c r="AR154" s="482"/>
      <c r="AS154" s="482"/>
      <c r="AT154" s="482"/>
      <c r="AU154" s="482"/>
      <c r="AV154" s="482"/>
      <c r="AW154" s="483"/>
      <c r="AX154" s="484">
        <f t="shared" si="69"/>
        <v>0</v>
      </c>
      <c r="AY154" s="501" t="str">
        <f t="shared" si="65"/>
        <v/>
      </c>
      <c r="AZ154" s="488">
        <f t="shared" si="66"/>
        <v>0</v>
      </c>
    </row>
    <row r="155" spans="1:52" s="57" customFormat="1" ht="24.9" customHeight="1" x14ac:dyDescent="0.25">
      <c r="A155" s="424" t="s">
        <v>182</v>
      </c>
      <c r="B155" s="97" t="s">
        <v>111</v>
      </c>
      <c r="C155" s="97" t="s">
        <v>519</v>
      </c>
      <c r="D155" s="145" t="s">
        <v>105</v>
      </c>
      <c r="E155" s="230" t="s">
        <v>171</v>
      </c>
      <c r="F155" s="414" t="s">
        <v>683</v>
      </c>
      <c r="G155" s="127">
        <v>41.46</v>
      </c>
      <c r="H155" s="303" t="str">
        <f>VLOOKUP($F155,'Leistungswerte UHR Kigas'!$C$6:$F$32,3,FALSE)</f>
        <v>W5</v>
      </c>
      <c r="I155" s="328">
        <f>VLOOKUP(H155,Turnus!$H$9:$I$26,2,FALSE)</f>
        <v>230</v>
      </c>
      <c r="J155" s="127">
        <f t="shared" si="18"/>
        <v>9535.8000000000011</v>
      </c>
      <c r="K155" s="128">
        <f>VLOOKUP($F155,'Leistungswerte UHR Kigas'!$C$6:$F$44,4,FALSE)</f>
        <v>0</v>
      </c>
      <c r="L155" s="496" t="str">
        <f t="shared" si="68"/>
        <v/>
      </c>
      <c r="M155" s="129">
        <f t="shared" si="19"/>
        <v>0</v>
      </c>
      <c r="N155" s="547">
        <f t="shared" si="29"/>
        <v>0</v>
      </c>
      <c r="O155" s="130">
        <f t="shared" si="20"/>
        <v>0</v>
      </c>
      <c r="P155" s="131">
        <f t="shared" si="64"/>
        <v>0</v>
      </c>
      <c r="Q155" s="578">
        <f t="shared" si="67"/>
        <v>2</v>
      </c>
      <c r="R155" s="587"/>
      <c r="S155" s="482"/>
      <c r="T155" s="482"/>
      <c r="U155" s="482"/>
      <c r="V155" s="482"/>
      <c r="W155" s="482"/>
      <c r="X155" s="482"/>
      <c r="Y155" s="482"/>
      <c r="Z155" s="482"/>
      <c r="AA155" s="482"/>
      <c r="AB155" s="482"/>
      <c r="AC155" s="482"/>
      <c r="AD155" s="482"/>
      <c r="AE155" s="482"/>
      <c r="AF155" s="482"/>
      <c r="AG155" s="482"/>
      <c r="AH155" s="482"/>
      <c r="AI155" s="482"/>
      <c r="AJ155" s="482"/>
      <c r="AK155" s="482"/>
      <c r="AL155" s="482"/>
      <c r="AM155" s="482"/>
      <c r="AN155" s="482"/>
      <c r="AO155" s="482"/>
      <c r="AP155" s="482"/>
      <c r="AQ155" s="482"/>
      <c r="AR155" s="482"/>
      <c r="AS155" s="482"/>
      <c r="AT155" s="482"/>
      <c r="AU155" s="482"/>
      <c r="AV155" s="482"/>
      <c r="AW155" s="483"/>
      <c r="AX155" s="484">
        <f t="shared" si="69"/>
        <v>0</v>
      </c>
      <c r="AY155" s="501" t="str">
        <f t="shared" si="65"/>
        <v/>
      </c>
      <c r="AZ155" s="488">
        <f t="shared" si="66"/>
        <v>0</v>
      </c>
    </row>
    <row r="156" spans="1:52" s="57" customFormat="1" ht="24.9" customHeight="1" x14ac:dyDescent="0.25">
      <c r="A156" s="424" t="s">
        <v>182</v>
      </c>
      <c r="B156" s="97" t="s">
        <v>111</v>
      </c>
      <c r="C156" s="97" t="s">
        <v>520</v>
      </c>
      <c r="D156" s="145" t="s">
        <v>841</v>
      </c>
      <c r="E156" s="230" t="s">
        <v>171</v>
      </c>
      <c r="F156" s="414" t="s">
        <v>683</v>
      </c>
      <c r="G156" s="127">
        <v>5.68</v>
      </c>
      <c r="H156" s="303" t="str">
        <f>VLOOKUP($F156,'Leistungswerte UHR Kigas'!$C$6:$F$32,3,FALSE)</f>
        <v>W5</v>
      </c>
      <c r="I156" s="328">
        <f>VLOOKUP(H156,Turnus!$H$9:$I$26,2,FALSE)</f>
        <v>230</v>
      </c>
      <c r="J156" s="127">
        <f t="shared" si="18"/>
        <v>1306.3999999999999</v>
      </c>
      <c r="K156" s="128">
        <f>VLOOKUP($F156,'Leistungswerte UHR Kigas'!$C$6:$F$44,4,FALSE)</f>
        <v>0</v>
      </c>
      <c r="L156" s="496" t="str">
        <f t="shared" si="68"/>
        <v/>
      </c>
      <c r="M156" s="129">
        <f t="shared" si="19"/>
        <v>0</v>
      </c>
      <c r="N156" s="547">
        <f t="shared" si="29"/>
        <v>0</v>
      </c>
      <c r="O156" s="130">
        <f t="shared" si="20"/>
        <v>0</v>
      </c>
      <c r="P156" s="131">
        <f t="shared" si="64"/>
        <v>0</v>
      </c>
      <c r="Q156" s="578">
        <f t="shared" si="67"/>
        <v>2</v>
      </c>
      <c r="R156" s="587"/>
      <c r="S156" s="482"/>
      <c r="T156" s="482"/>
      <c r="U156" s="482"/>
      <c r="V156" s="482"/>
      <c r="W156" s="482"/>
      <c r="X156" s="482"/>
      <c r="Y156" s="482"/>
      <c r="Z156" s="482"/>
      <c r="AA156" s="482"/>
      <c r="AB156" s="482"/>
      <c r="AC156" s="482"/>
      <c r="AD156" s="482"/>
      <c r="AE156" s="482"/>
      <c r="AF156" s="482"/>
      <c r="AG156" s="482"/>
      <c r="AH156" s="482"/>
      <c r="AI156" s="482"/>
      <c r="AJ156" s="482"/>
      <c r="AK156" s="482"/>
      <c r="AL156" s="482"/>
      <c r="AM156" s="482"/>
      <c r="AN156" s="482"/>
      <c r="AO156" s="482"/>
      <c r="AP156" s="482"/>
      <c r="AQ156" s="482"/>
      <c r="AR156" s="482"/>
      <c r="AS156" s="482"/>
      <c r="AT156" s="482"/>
      <c r="AU156" s="482"/>
      <c r="AV156" s="482"/>
      <c r="AW156" s="483"/>
      <c r="AX156" s="484">
        <f t="shared" si="69"/>
        <v>0</v>
      </c>
      <c r="AY156" s="501" t="str">
        <f t="shared" si="65"/>
        <v/>
      </c>
      <c r="AZ156" s="488">
        <f t="shared" si="66"/>
        <v>0</v>
      </c>
    </row>
    <row r="157" spans="1:52" s="57" customFormat="1" ht="24.9" customHeight="1" x14ac:dyDescent="0.25">
      <c r="A157" s="424" t="s">
        <v>182</v>
      </c>
      <c r="B157" s="97" t="s">
        <v>111</v>
      </c>
      <c r="C157" s="97" t="s">
        <v>521</v>
      </c>
      <c r="D157" s="145" t="s">
        <v>522</v>
      </c>
      <c r="E157" s="230" t="s">
        <v>171</v>
      </c>
      <c r="F157" s="414" t="s">
        <v>892</v>
      </c>
      <c r="G157" s="127">
        <v>15.5</v>
      </c>
      <c r="H157" s="303" t="str">
        <f>VLOOKUP($F157,'Leistungswerte UHR Kigas'!$C$6:$F$32,3,FALSE)</f>
        <v>W5</v>
      </c>
      <c r="I157" s="328">
        <f>VLOOKUP(H157,Turnus!$H$9:$I$26,2,FALSE)</f>
        <v>230</v>
      </c>
      <c r="J157" s="127">
        <f t="shared" si="18"/>
        <v>3565</v>
      </c>
      <c r="K157" s="128">
        <f>VLOOKUP($F157,'Leistungswerte UHR Kigas'!$C$6:$F$44,4,FALSE)</f>
        <v>0</v>
      </c>
      <c r="L157" s="496" t="str">
        <f t="shared" si="68"/>
        <v/>
      </c>
      <c r="M157" s="129">
        <f t="shared" si="19"/>
        <v>0</v>
      </c>
      <c r="N157" s="547">
        <f t="shared" si="29"/>
        <v>0</v>
      </c>
      <c r="O157" s="130">
        <f t="shared" si="20"/>
        <v>0</v>
      </c>
      <c r="P157" s="131">
        <f t="shared" si="64"/>
        <v>0</v>
      </c>
      <c r="Q157" s="578">
        <f t="shared" si="67"/>
        <v>2</v>
      </c>
      <c r="R157" s="587"/>
      <c r="S157" s="482"/>
      <c r="T157" s="482"/>
      <c r="U157" s="482"/>
      <c r="V157" s="482"/>
      <c r="W157" s="482"/>
      <c r="X157" s="482"/>
      <c r="Y157" s="482"/>
      <c r="Z157" s="482"/>
      <c r="AA157" s="482"/>
      <c r="AB157" s="482"/>
      <c r="AC157" s="482"/>
      <c r="AD157" s="482"/>
      <c r="AE157" s="482"/>
      <c r="AF157" s="482"/>
      <c r="AG157" s="482"/>
      <c r="AH157" s="482"/>
      <c r="AI157" s="482"/>
      <c r="AJ157" s="482"/>
      <c r="AK157" s="482"/>
      <c r="AL157" s="482"/>
      <c r="AM157" s="482"/>
      <c r="AN157" s="482"/>
      <c r="AO157" s="482"/>
      <c r="AP157" s="482"/>
      <c r="AQ157" s="482"/>
      <c r="AR157" s="482"/>
      <c r="AS157" s="482"/>
      <c r="AT157" s="482"/>
      <c r="AU157" s="482"/>
      <c r="AV157" s="482"/>
      <c r="AW157" s="483"/>
      <c r="AX157" s="484">
        <f t="shared" si="69"/>
        <v>0</v>
      </c>
      <c r="AY157" s="501" t="str">
        <f t="shared" si="65"/>
        <v/>
      </c>
      <c r="AZ157" s="488">
        <f t="shared" si="66"/>
        <v>0</v>
      </c>
    </row>
    <row r="158" spans="1:52" s="57" customFormat="1" ht="24.9" customHeight="1" x14ac:dyDescent="0.25">
      <c r="A158" s="424" t="s">
        <v>182</v>
      </c>
      <c r="B158" s="97" t="s">
        <v>111</v>
      </c>
      <c r="C158" s="97" t="s">
        <v>538</v>
      </c>
      <c r="D158" s="145" t="s">
        <v>102</v>
      </c>
      <c r="E158" s="230" t="s">
        <v>253</v>
      </c>
      <c r="F158" s="414" t="s">
        <v>676</v>
      </c>
      <c r="G158" s="127">
        <v>58.72</v>
      </c>
      <c r="H158" s="303" t="str">
        <f>VLOOKUP($F158,'Leistungswerte UHR Kigas'!$C$6:$F$32,3,FALSE)</f>
        <v>W5</v>
      </c>
      <c r="I158" s="328">
        <f>VLOOKUP(H158,Turnus!$H$9:$I$26,2,FALSE)</f>
        <v>230</v>
      </c>
      <c r="J158" s="127">
        <f>+G158*I158</f>
        <v>13505.6</v>
      </c>
      <c r="K158" s="128">
        <f>VLOOKUP($F158,'Leistungswerte UHR Kigas'!$C$6:$F$44,4,FALSE)</f>
        <v>0</v>
      </c>
      <c r="L158" s="496" t="str">
        <f t="shared" si="68"/>
        <v/>
      </c>
      <c r="M158" s="129">
        <f>IF(ISERROR(J158/K158),0,J158/K158)</f>
        <v>0</v>
      </c>
      <c r="N158" s="547">
        <f t="shared" si="54"/>
        <v>0</v>
      </c>
      <c r="O158" s="130">
        <f>IF(ISERROR(G158/K158*N158),0,G158/K158*N158)</f>
        <v>0</v>
      </c>
      <c r="P158" s="131">
        <f t="shared" si="64"/>
        <v>0</v>
      </c>
      <c r="Q158" s="578">
        <f t="shared" si="67"/>
        <v>2</v>
      </c>
      <c r="R158" s="587"/>
      <c r="S158" s="482"/>
      <c r="T158" s="482"/>
      <c r="U158" s="482"/>
      <c r="V158" s="482"/>
      <c r="W158" s="482"/>
      <c r="X158" s="482"/>
      <c r="Y158" s="482"/>
      <c r="Z158" s="482"/>
      <c r="AA158" s="482"/>
      <c r="AB158" s="482"/>
      <c r="AC158" s="482"/>
      <c r="AD158" s="482"/>
      <c r="AE158" s="482"/>
      <c r="AF158" s="482"/>
      <c r="AG158" s="482"/>
      <c r="AH158" s="482"/>
      <c r="AI158" s="482"/>
      <c r="AJ158" s="482"/>
      <c r="AK158" s="482"/>
      <c r="AL158" s="482"/>
      <c r="AM158" s="482"/>
      <c r="AN158" s="482"/>
      <c r="AO158" s="482"/>
      <c r="AP158" s="482"/>
      <c r="AQ158" s="482"/>
      <c r="AR158" s="482"/>
      <c r="AS158" s="482"/>
      <c r="AT158" s="482"/>
      <c r="AU158" s="482"/>
      <c r="AV158" s="482"/>
      <c r="AW158" s="483"/>
      <c r="AX158" s="484">
        <f t="shared" si="69"/>
        <v>0</v>
      </c>
      <c r="AY158" s="501" t="str">
        <f t="shared" si="65"/>
        <v/>
      </c>
      <c r="AZ158" s="488">
        <f t="shared" si="66"/>
        <v>0</v>
      </c>
    </row>
    <row r="159" spans="1:52" s="57" customFormat="1" ht="24.9" customHeight="1" x14ac:dyDescent="0.25">
      <c r="A159" s="424" t="s">
        <v>182</v>
      </c>
      <c r="B159" s="97" t="s">
        <v>111</v>
      </c>
      <c r="C159" s="97" t="s">
        <v>523</v>
      </c>
      <c r="D159" s="145" t="s">
        <v>265</v>
      </c>
      <c r="E159" s="230" t="s">
        <v>253</v>
      </c>
      <c r="F159" s="414" t="s">
        <v>685</v>
      </c>
      <c r="G159" s="127">
        <v>93.78</v>
      </c>
      <c r="H159" s="303" t="str">
        <f>VLOOKUP($F159,'Leistungswerte UHR Kigas'!$C$6:$F$32,3,FALSE)</f>
        <v>W5</v>
      </c>
      <c r="I159" s="328">
        <f>VLOOKUP(H159,Turnus!$H$9:$I$26,2,FALSE)</f>
        <v>230</v>
      </c>
      <c r="J159" s="127">
        <f t="shared" si="18"/>
        <v>21569.4</v>
      </c>
      <c r="K159" s="128">
        <f>VLOOKUP($F159,'Leistungswerte UHR Kigas'!$C$6:$F$44,4,FALSE)</f>
        <v>0</v>
      </c>
      <c r="L159" s="496" t="str">
        <f t="shared" si="68"/>
        <v/>
      </c>
      <c r="M159" s="129">
        <f t="shared" si="19"/>
        <v>0</v>
      </c>
      <c r="N159" s="547">
        <f t="shared" si="29"/>
        <v>0</v>
      </c>
      <c r="O159" s="130">
        <f t="shared" si="20"/>
        <v>0</v>
      </c>
      <c r="P159" s="131">
        <f t="shared" si="64"/>
        <v>0</v>
      </c>
      <c r="Q159" s="578">
        <f t="shared" si="67"/>
        <v>2</v>
      </c>
      <c r="R159" s="587"/>
      <c r="S159" s="482"/>
      <c r="T159" s="482"/>
      <c r="U159" s="482"/>
      <c r="V159" s="482"/>
      <c r="W159" s="482"/>
      <c r="X159" s="482"/>
      <c r="Y159" s="482"/>
      <c r="Z159" s="482"/>
      <c r="AA159" s="482"/>
      <c r="AB159" s="482"/>
      <c r="AC159" s="482"/>
      <c r="AD159" s="482"/>
      <c r="AE159" s="482"/>
      <c r="AF159" s="482"/>
      <c r="AG159" s="482"/>
      <c r="AH159" s="482"/>
      <c r="AI159" s="482"/>
      <c r="AJ159" s="482"/>
      <c r="AK159" s="482"/>
      <c r="AL159" s="482"/>
      <c r="AM159" s="482"/>
      <c r="AN159" s="482"/>
      <c r="AO159" s="482"/>
      <c r="AP159" s="482"/>
      <c r="AQ159" s="482"/>
      <c r="AR159" s="482"/>
      <c r="AS159" s="482"/>
      <c r="AT159" s="482"/>
      <c r="AU159" s="482"/>
      <c r="AV159" s="482"/>
      <c r="AW159" s="483"/>
      <c r="AX159" s="484">
        <f t="shared" si="69"/>
        <v>0</v>
      </c>
      <c r="AY159" s="501" t="str">
        <f t="shared" si="65"/>
        <v/>
      </c>
      <c r="AZ159" s="488">
        <f t="shared" si="66"/>
        <v>0</v>
      </c>
    </row>
    <row r="160" spans="1:52" s="57" customFormat="1" ht="24.9" customHeight="1" x14ac:dyDescent="0.25">
      <c r="A160" s="424" t="s">
        <v>182</v>
      </c>
      <c r="B160" s="97" t="s">
        <v>111</v>
      </c>
      <c r="C160" s="97" t="s">
        <v>524</v>
      </c>
      <c r="D160" s="145" t="s">
        <v>721</v>
      </c>
      <c r="E160" s="230" t="s">
        <v>253</v>
      </c>
      <c r="F160" s="414" t="s">
        <v>987</v>
      </c>
      <c r="G160" s="127">
        <v>62.9</v>
      </c>
      <c r="H160" s="303" t="str">
        <f>VLOOKUP($F160,'Leistungswerte UHR Kigas'!$C$6:$F$32,3,FALSE)</f>
        <v>W5</v>
      </c>
      <c r="I160" s="328">
        <f>VLOOKUP(H160,Turnus!$H$9:$I$26,2,FALSE)</f>
        <v>230</v>
      </c>
      <c r="J160" s="127">
        <f t="shared" si="18"/>
        <v>14467</v>
      </c>
      <c r="K160" s="128">
        <f>VLOOKUP($F160,'Leistungswerte UHR Kigas'!$C$6:$F$44,4,FALSE)</f>
        <v>0</v>
      </c>
      <c r="L160" s="496" t="str">
        <f t="shared" si="68"/>
        <v/>
      </c>
      <c r="M160" s="129">
        <f t="shared" si="19"/>
        <v>0</v>
      </c>
      <c r="N160" s="547">
        <f t="shared" si="29"/>
        <v>0</v>
      </c>
      <c r="O160" s="130">
        <f t="shared" si="20"/>
        <v>0</v>
      </c>
      <c r="P160" s="131">
        <f t="shared" si="64"/>
        <v>0</v>
      </c>
      <c r="Q160" s="578">
        <f t="shared" si="67"/>
        <v>2</v>
      </c>
      <c r="R160" s="587"/>
      <c r="S160" s="482"/>
      <c r="T160" s="482"/>
      <c r="U160" s="482"/>
      <c r="V160" s="482"/>
      <c r="W160" s="482"/>
      <c r="X160" s="482"/>
      <c r="Y160" s="482"/>
      <c r="Z160" s="482"/>
      <c r="AA160" s="482"/>
      <c r="AB160" s="482"/>
      <c r="AC160" s="482"/>
      <c r="AD160" s="482"/>
      <c r="AE160" s="482"/>
      <c r="AF160" s="482"/>
      <c r="AG160" s="482"/>
      <c r="AH160" s="482"/>
      <c r="AI160" s="482"/>
      <c r="AJ160" s="482"/>
      <c r="AK160" s="482"/>
      <c r="AL160" s="482"/>
      <c r="AM160" s="482"/>
      <c r="AN160" s="482"/>
      <c r="AO160" s="482"/>
      <c r="AP160" s="482"/>
      <c r="AQ160" s="482"/>
      <c r="AR160" s="482"/>
      <c r="AS160" s="482"/>
      <c r="AT160" s="482"/>
      <c r="AU160" s="482"/>
      <c r="AV160" s="482"/>
      <c r="AW160" s="483"/>
      <c r="AX160" s="484">
        <f t="shared" si="69"/>
        <v>0</v>
      </c>
      <c r="AY160" s="501" t="str">
        <f t="shared" si="65"/>
        <v/>
      </c>
      <c r="AZ160" s="488">
        <f t="shared" si="66"/>
        <v>0</v>
      </c>
    </row>
    <row r="161" spans="1:52" s="57" customFormat="1" ht="24.9" customHeight="1" x14ac:dyDescent="0.25">
      <c r="A161" s="424" t="s">
        <v>182</v>
      </c>
      <c r="B161" s="97" t="s">
        <v>111</v>
      </c>
      <c r="C161" s="97" t="s">
        <v>539</v>
      </c>
      <c r="D161" s="145" t="s">
        <v>102</v>
      </c>
      <c r="E161" s="230" t="s">
        <v>253</v>
      </c>
      <c r="F161" s="414" t="s">
        <v>676</v>
      </c>
      <c r="G161" s="127">
        <v>50.88</v>
      </c>
      <c r="H161" s="303" t="str">
        <f>VLOOKUP($F161,'Leistungswerte UHR Kigas'!$C$6:$F$32,3,FALSE)</f>
        <v>W5</v>
      </c>
      <c r="I161" s="328">
        <f>VLOOKUP(H161,Turnus!$H$9:$I$26,2,FALSE)</f>
        <v>230</v>
      </c>
      <c r="J161" s="127">
        <f>+G161*I161</f>
        <v>11702.400000000001</v>
      </c>
      <c r="K161" s="128">
        <f>VLOOKUP($F161,'Leistungswerte UHR Kigas'!$C$6:$F$44,4,FALSE)</f>
        <v>0</v>
      </c>
      <c r="L161" s="496" t="str">
        <f t="shared" si="68"/>
        <v/>
      </c>
      <c r="M161" s="129">
        <f>IF(ISERROR(J161/K161),0,J161/K161)</f>
        <v>0</v>
      </c>
      <c r="N161" s="547">
        <f t="shared" si="54"/>
        <v>0</v>
      </c>
      <c r="O161" s="130">
        <f>IF(ISERROR(G161/K161*N161),0,G161/K161*N161)</f>
        <v>0</v>
      </c>
      <c r="P161" s="131">
        <f t="shared" si="64"/>
        <v>0</v>
      </c>
      <c r="Q161" s="578">
        <f t="shared" si="67"/>
        <v>2</v>
      </c>
      <c r="R161" s="587"/>
      <c r="S161" s="482"/>
      <c r="T161" s="482"/>
      <c r="U161" s="482"/>
      <c r="V161" s="482"/>
      <c r="W161" s="482"/>
      <c r="X161" s="482"/>
      <c r="Y161" s="482"/>
      <c r="Z161" s="482"/>
      <c r="AA161" s="482"/>
      <c r="AB161" s="482"/>
      <c r="AC161" s="482"/>
      <c r="AD161" s="482"/>
      <c r="AE161" s="482"/>
      <c r="AF161" s="482"/>
      <c r="AG161" s="482"/>
      <c r="AH161" s="482"/>
      <c r="AI161" s="482"/>
      <c r="AJ161" s="482"/>
      <c r="AK161" s="482"/>
      <c r="AL161" s="482"/>
      <c r="AM161" s="482"/>
      <c r="AN161" s="482"/>
      <c r="AO161" s="482"/>
      <c r="AP161" s="482"/>
      <c r="AQ161" s="482"/>
      <c r="AR161" s="482"/>
      <c r="AS161" s="482"/>
      <c r="AT161" s="482"/>
      <c r="AU161" s="482"/>
      <c r="AV161" s="482"/>
      <c r="AW161" s="483"/>
      <c r="AX161" s="484">
        <f t="shared" si="69"/>
        <v>0</v>
      </c>
      <c r="AY161" s="501" t="str">
        <f t="shared" si="65"/>
        <v/>
      </c>
      <c r="AZ161" s="488">
        <f t="shared" si="66"/>
        <v>0</v>
      </c>
    </row>
    <row r="162" spans="1:52" s="57" customFormat="1" ht="24.9" customHeight="1" x14ac:dyDescent="0.25">
      <c r="A162" s="424" t="s">
        <v>182</v>
      </c>
      <c r="B162" s="97" t="s">
        <v>111</v>
      </c>
      <c r="C162" s="97" t="s">
        <v>525</v>
      </c>
      <c r="D162" s="145" t="s">
        <v>526</v>
      </c>
      <c r="E162" s="230" t="s">
        <v>253</v>
      </c>
      <c r="F162" s="414" t="s">
        <v>669</v>
      </c>
      <c r="G162" s="127">
        <v>38.42</v>
      </c>
      <c r="H162" s="303" t="str">
        <f>VLOOKUP($F162,'Leistungswerte UHR Kigas'!$C$6:$F$32,3,FALSE)</f>
        <v>W5</v>
      </c>
      <c r="I162" s="328">
        <f>VLOOKUP(H162,Turnus!$H$9:$I$26,2,FALSE)</f>
        <v>230</v>
      </c>
      <c r="J162" s="127">
        <f t="shared" si="18"/>
        <v>8836.6</v>
      </c>
      <c r="K162" s="128">
        <f>VLOOKUP($F162,'Leistungswerte UHR Kigas'!$C$6:$F$44,4,FALSE)</f>
        <v>0</v>
      </c>
      <c r="L162" s="496" t="str">
        <f t="shared" si="68"/>
        <v/>
      </c>
      <c r="M162" s="129">
        <f t="shared" si="19"/>
        <v>0</v>
      </c>
      <c r="N162" s="547">
        <f t="shared" si="29"/>
        <v>0</v>
      </c>
      <c r="O162" s="130">
        <f t="shared" si="20"/>
        <v>0</v>
      </c>
      <c r="P162" s="131">
        <f t="shared" si="64"/>
        <v>0</v>
      </c>
      <c r="Q162" s="578">
        <f t="shared" si="67"/>
        <v>2</v>
      </c>
      <c r="R162" s="587"/>
      <c r="S162" s="482"/>
      <c r="T162" s="482"/>
      <c r="U162" s="482"/>
      <c r="V162" s="482"/>
      <c r="W162" s="482"/>
      <c r="X162" s="482"/>
      <c r="Y162" s="482"/>
      <c r="Z162" s="482"/>
      <c r="AA162" s="482"/>
      <c r="AB162" s="482"/>
      <c r="AC162" s="482"/>
      <c r="AD162" s="482"/>
      <c r="AE162" s="482"/>
      <c r="AF162" s="482"/>
      <c r="AG162" s="482"/>
      <c r="AH162" s="482"/>
      <c r="AI162" s="482"/>
      <c r="AJ162" s="482"/>
      <c r="AK162" s="482"/>
      <c r="AL162" s="482"/>
      <c r="AM162" s="482"/>
      <c r="AN162" s="482"/>
      <c r="AO162" s="482"/>
      <c r="AP162" s="482"/>
      <c r="AQ162" s="482"/>
      <c r="AR162" s="482"/>
      <c r="AS162" s="482"/>
      <c r="AT162" s="482"/>
      <c r="AU162" s="482"/>
      <c r="AV162" s="482"/>
      <c r="AW162" s="483"/>
      <c r="AX162" s="484">
        <f t="shared" si="69"/>
        <v>0</v>
      </c>
      <c r="AY162" s="501" t="str">
        <f t="shared" si="65"/>
        <v/>
      </c>
      <c r="AZ162" s="488">
        <f t="shared" si="66"/>
        <v>0</v>
      </c>
    </row>
    <row r="163" spans="1:52" s="57" customFormat="1" ht="24.9" customHeight="1" x14ac:dyDescent="0.25">
      <c r="A163" s="424" t="s">
        <v>182</v>
      </c>
      <c r="B163" s="97" t="s">
        <v>111</v>
      </c>
      <c r="C163" s="97" t="s">
        <v>527</v>
      </c>
      <c r="D163" s="145" t="s">
        <v>528</v>
      </c>
      <c r="E163" s="230" t="s">
        <v>253</v>
      </c>
      <c r="F163" s="414" t="s">
        <v>669</v>
      </c>
      <c r="G163" s="127">
        <v>38.42</v>
      </c>
      <c r="H163" s="303" t="str">
        <f>VLOOKUP($F163,'Leistungswerte UHR Kigas'!$C$6:$F$32,3,FALSE)</f>
        <v>W5</v>
      </c>
      <c r="I163" s="328">
        <f>VLOOKUP(H163,Turnus!$H$9:$I$26,2,FALSE)</f>
        <v>230</v>
      </c>
      <c r="J163" s="127">
        <f t="shared" si="18"/>
        <v>8836.6</v>
      </c>
      <c r="K163" s="128">
        <f>VLOOKUP($F163,'Leistungswerte UHR Kigas'!$C$6:$F$44,4,FALSE)</f>
        <v>0</v>
      </c>
      <c r="L163" s="496" t="str">
        <f t="shared" si="68"/>
        <v/>
      </c>
      <c r="M163" s="129">
        <f t="shared" si="19"/>
        <v>0</v>
      </c>
      <c r="N163" s="547">
        <f t="shared" si="29"/>
        <v>0</v>
      </c>
      <c r="O163" s="130">
        <f t="shared" si="20"/>
        <v>0</v>
      </c>
      <c r="P163" s="131">
        <f t="shared" si="64"/>
        <v>0</v>
      </c>
      <c r="Q163" s="578">
        <f t="shared" si="67"/>
        <v>2</v>
      </c>
      <c r="R163" s="587"/>
      <c r="S163" s="482"/>
      <c r="T163" s="482"/>
      <c r="U163" s="482"/>
      <c r="V163" s="482"/>
      <c r="W163" s="482"/>
      <c r="X163" s="482"/>
      <c r="Y163" s="482"/>
      <c r="Z163" s="482"/>
      <c r="AA163" s="482"/>
      <c r="AB163" s="482"/>
      <c r="AC163" s="482"/>
      <c r="AD163" s="482"/>
      <c r="AE163" s="482"/>
      <c r="AF163" s="482"/>
      <c r="AG163" s="482"/>
      <c r="AH163" s="482"/>
      <c r="AI163" s="482"/>
      <c r="AJ163" s="482"/>
      <c r="AK163" s="482"/>
      <c r="AL163" s="482"/>
      <c r="AM163" s="482"/>
      <c r="AN163" s="482"/>
      <c r="AO163" s="482"/>
      <c r="AP163" s="482"/>
      <c r="AQ163" s="482"/>
      <c r="AR163" s="482"/>
      <c r="AS163" s="482"/>
      <c r="AT163" s="482"/>
      <c r="AU163" s="482"/>
      <c r="AV163" s="482"/>
      <c r="AW163" s="483"/>
      <c r="AX163" s="484">
        <f t="shared" si="69"/>
        <v>0</v>
      </c>
      <c r="AY163" s="501" t="str">
        <f t="shared" si="65"/>
        <v/>
      </c>
      <c r="AZ163" s="488">
        <f t="shared" si="66"/>
        <v>0</v>
      </c>
    </row>
    <row r="164" spans="1:52" s="57" customFormat="1" ht="24.9" customHeight="1" x14ac:dyDescent="0.25">
      <c r="A164" s="424" t="s">
        <v>182</v>
      </c>
      <c r="B164" s="97" t="s">
        <v>111</v>
      </c>
      <c r="C164" s="97" t="s">
        <v>529</v>
      </c>
      <c r="D164" s="145" t="s">
        <v>445</v>
      </c>
      <c r="E164" s="230" t="s">
        <v>253</v>
      </c>
      <c r="F164" s="414" t="s">
        <v>669</v>
      </c>
      <c r="G164" s="127">
        <v>62.04</v>
      </c>
      <c r="H164" s="303" t="str">
        <f>VLOOKUP($F164,'Leistungswerte UHR Kigas'!$C$6:$F$32,3,FALSE)</f>
        <v>W5</v>
      </c>
      <c r="I164" s="328">
        <f>VLOOKUP(H164,Turnus!$H$9:$I$26,2,FALSE)</f>
        <v>230</v>
      </c>
      <c r="J164" s="127">
        <f t="shared" si="18"/>
        <v>14269.199999999999</v>
      </c>
      <c r="K164" s="128">
        <f>VLOOKUP($F164,'Leistungswerte UHR Kigas'!$C$6:$F$44,4,FALSE)</f>
        <v>0</v>
      </c>
      <c r="L164" s="496" t="str">
        <f t="shared" si="68"/>
        <v/>
      </c>
      <c r="M164" s="129">
        <f t="shared" si="19"/>
        <v>0</v>
      </c>
      <c r="N164" s="547">
        <f t="shared" si="29"/>
        <v>0</v>
      </c>
      <c r="O164" s="130">
        <f t="shared" si="20"/>
        <v>0</v>
      </c>
      <c r="P164" s="131">
        <f t="shared" si="64"/>
        <v>0</v>
      </c>
      <c r="Q164" s="578">
        <f t="shared" si="67"/>
        <v>2</v>
      </c>
      <c r="R164" s="587"/>
      <c r="S164" s="482"/>
      <c r="T164" s="482"/>
      <c r="U164" s="482"/>
      <c r="V164" s="482"/>
      <c r="W164" s="482"/>
      <c r="X164" s="482"/>
      <c r="Y164" s="482"/>
      <c r="Z164" s="482"/>
      <c r="AA164" s="482"/>
      <c r="AB164" s="482"/>
      <c r="AC164" s="482"/>
      <c r="AD164" s="482"/>
      <c r="AE164" s="482"/>
      <c r="AF164" s="482"/>
      <c r="AG164" s="482"/>
      <c r="AH164" s="482"/>
      <c r="AI164" s="482"/>
      <c r="AJ164" s="482"/>
      <c r="AK164" s="482"/>
      <c r="AL164" s="482"/>
      <c r="AM164" s="482"/>
      <c r="AN164" s="482"/>
      <c r="AO164" s="482"/>
      <c r="AP164" s="482"/>
      <c r="AQ164" s="482"/>
      <c r="AR164" s="482"/>
      <c r="AS164" s="482"/>
      <c r="AT164" s="482"/>
      <c r="AU164" s="482"/>
      <c r="AV164" s="482"/>
      <c r="AW164" s="483"/>
      <c r="AX164" s="484">
        <f t="shared" si="69"/>
        <v>0</v>
      </c>
      <c r="AY164" s="501" t="str">
        <f t="shared" si="65"/>
        <v/>
      </c>
      <c r="AZ164" s="488">
        <f t="shared" si="66"/>
        <v>0</v>
      </c>
    </row>
    <row r="165" spans="1:52" s="57" customFormat="1" ht="24.9" customHeight="1" x14ac:dyDescent="0.25">
      <c r="A165" s="424" t="s">
        <v>182</v>
      </c>
      <c r="B165" s="97" t="s">
        <v>111</v>
      </c>
      <c r="C165" s="97" t="s">
        <v>540</v>
      </c>
      <c r="D165" s="145" t="s">
        <v>102</v>
      </c>
      <c r="E165" s="230" t="s">
        <v>253</v>
      </c>
      <c r="F165" s="414" t="s">
        <v>676</v>
      </c>
      <c r="G165" s="127">
        <v>40.729999999999997</v>
      </c>
      <c r="H165" s="303" t="str">
        <f>VLOOKUP($F165,'Leistungswerte UHR Kigas'!$C$6:$F$32,3,FALSE)</f>
        <v>W5</v>
      </c>
      <c r="I165" s="328">
        <f>VLOOKUP(H165,Turnus!$H$9:$I$26,2,FALSE)</f>
        <v>230</v>
      </c>
      <c r="J165" s="127">
        <f t="shared" si="18"/>
        <v>9367.9</v>
      </c>
      <c r="K165" s="128">
        <f>VLOOKUP($F165,'Leistungswerte UHR Kigas'!$C$6:$F$44,4,FALSE)</f>
        <v>0</v>
      </c>
      <c r="L165" s="496" t="str">
        <f t="shared" si="68"/>
        <v/>
      </c>
      <c r="M165" s="129">
        <f t="shared" si="19"/>
        <v>0</v>
      </c>
      <c r="N165" s="547">
        <f t="shared" si="54"/>
        <v>0</v>
      </c>
      <c r="O165" s="130">
        <f t="shared" si="20"/>
        <v>0</v>
      </c>
      <c r="P165" s="131">
        <f t="shared" si="64"/>
        <v>0</v>
      </c>
      <c r="Q165" s="578">
        <f t="shared" si="67"/>
        <v>2</v>
      </c>
      <c r="R165" s="587"/>
      <c r="S165" s="482"/>
      <c r="T165" s="482"/>
      <c r="U165" s="482"/>
      <c r="V165" s="482"/>
      <c r="W165" s="482"/>
      <c r="X165" s="482"/>
      <c r="Y165" s="482"/>
      <c r="Z165" s="482"/>
      <c r="AA165" s="482"/>
      <c r="AB165" s="482"/>
      <c r="AC165" s="482"/>
      <c r="AD165" s="482"/>
      <c r="AE165" s="482"/>
      <c r="AF165" s="482"/>
      <c r="AG165" s="482"/>
      <c r="AH165" s="482"/>
      <c r="AI165" s="482"/>
      <c r="AJ165" s="482"/>
      <c r="AK165" s="482"/>
      <c r="AL165" s="482"/>
      <c r="AM165" s="482"/>
      <c r="AN165" s="482"/>
      <c r="AO165" s="482"/>
      <c r="AP165" s="482"/>
      <c r="AQ165" s="482"/>
      <c r="AR165" s="482"/>
      <c r="AS165" s="482"/>
      <c r="AT165" s="482"/>
      <c r="AU165" s="482"/>
      <c r="AV165" s="482"/>
      <c r="AW165" s="483"/>
      <c r="AX165" s="484">
        <f t="shared" si="69"/>
        <v>0</v>
      </c>
      <c r="AY165" s="501" t="str">
        <f t="shared" si="65"/>
        <v/>
      </c>
      <c r="AZ165" s="488">
        <f t="shared" si="66"/>
        <v>0</v>
      </c>
    </row>
    <row r="166" spans="1:52" s="57" customFormat="1" ht="24.9" customHeight="1" x14ac:dyDescent="0.25">
      <c r="A166" s="424" t="s">
        <v>182</v>
      </c>
      <c r="B166" s="97" t="s">
        <v>111</v>
      </c>
      <c r="C166" s="97" t="s">
        <v>545</v>
      </c>
      <c r="D166" s="145" t="s">
        <v>266</v>
      </c>
      <c r="E166" s="230" t="s">
        <v>619</v>
      </c>
      <c r="F166" s="414" t="s">
        <v>674</v>
      </c>
      <c r="G166" s="127">
        <v>41.62</v>
      </c>
      <c r="H166" s="303" t="str">
        <f>VLOOKUP($F166,'Leistungswerte UHR Kigas'!$C$6:$F$32,3,FALSE)</f>
        <v>W5</v>
      </c>
      <c r="I166" s="328">
        <f>VLOOKUP(H166,Turnus!$H$9:$I$26,2,FALSE)</f>
        <v>230</v>
      </c>
      <c r="J166" s="127">
        <f t="shared" ref="J166:J173" si="76">+G166*I166</f>
        <v>9572.5999999999985</v>
      </c>
      <c r="K166" s="128">
        <f>VLOOKUP($F166,'Leistungswerte UHR Kigas'!$C$6:$F$44,4,FALSE)</f>
        <v>0</v>
      </c>
      <c r="L166" s="496" t="str">
        <f t="shared" si="68"/>
        <v/>
      </c>
      <c r="M166" s="129">
        <f t="shared" ref="M166:M173" si="77">IF(ISERROR(J166/K166),0,J166/K166)</f>
        <v>0</v>
      </c>
      <c r="N166" s="547">
        <f t="shared" si="54"/>
        <v>0</v>
      </c>
      <c r="O166" s="130">
        <f t="shared" ref="O166:O173" si="78">IF(ISERROR(G166/K166*N166),0,G166/K166*N166)</f>
        <v>0</v>
      </c>
      <c r="P166" s="131">
        <f t="shared" si="64"/>
        <v>0</v>
      </c>
      <c r="Q166" s="578">
        <f t="shared" si="67"/>
        <v>2</v>
      </c>
      <c r="R166" s="587"/>
      <c r="S166" s="482"/>
      <c r="T166" s="482"/>
      <c r="U166" s="482"/>
      <c r="V166" s="482"/>
      <c r="W166" s="482"/>
      <c r="X166" s="482"/>
      <c r="Y166" s="482"/>
      <c r="Z166" s="482"/>
      <c r="AA166" s="482"/>
      <c r="AB166" s="482"/>
      <c r="AC166" s="482"/>
      <c r="AD166" s="482"/>
      <c r="AE166" s="482"/>
      <c r="AF166" s="482"/>
      <c r="AG166" s="482"/>
      <c r="AH166" s="482"/>
      <c r="AI166" s="482"/>
      <c r="AJ166" s="482"/>
      <c r="AK166" s="482"/>
      <c r="AL166" s="482"/>
      <c r="AM166" s="482"/>
      <c r="AN166" s="482"/>
      <c r="AO166" s="482"/>
      <c r="AP166" s="482"/>
      <c r="AQ166" s="482"/>
      <c r="AR166" s="482"/>
      <c r="AS166" s="482"/>
      <c r="AT166" s="482"/>
      <c r="AU166" s="482"/>
      <c r="AV166" s="482"/>
      <c r="AW166" s="483"/>
      <c r="AX166" s="484">
        <f t="shared" si="69"/>
        <v>0</v>
      </c>
      <c r="AY166" s="501" t="str">
        <f t="shared" si="65"/>
        <v/>
      </c>
      <c r="AZ166" s="488">
        <f t="shared" si="66"/>
        <v>0</v>
      </c>
    </row>
    <row r="167" spans="1:52" s="57" customFormat="1" ht="24.9" customHeight="1" x14ac:dyDescent="0.25">
      <c r="A167" s="424" t="s">
        <v>362</v>
      </c>
      <c r="B167" s="97" t="s">
        <v>111</v>
      </c>
      <c r="C167" s="97" t="s">
        <v>572</v>
      </c>
      <c r="D167" s="145" t="s">
        <v>266</v>
      </c>
      <c r="E167" s="230" t="s">
        <v>619</v>
      </c>
      <c r="F167" s="414" t="s">
        <v>674</v>
      </c>
      <c r="G167" s="127">
        <v>23.29</v>
      </c>
      <c r="H167" s="303" t="str">
        <f>VLOOKUP($F167,'Leistungswerte UHR Kigas'!$C$6:$F$32,3,FALSE)</f>
        <v>W5</v>
      </c>
      <c r="I167" s="328">
        <f>VLOOKUP(H167,Turnus!$H$9:$I$26,2,FALSE)</f>
        <v>230</v>
      </c>
      <c r="J167" s="127">
        <f t="shared" si="76"/>
        <v>5356.7</v>
      </c>
      <c r="K167" s="128">
        <f>VLOOKUP($F167,'Leistungswerte UHR Kigas'!$C$6:$F$44,4,FALSE)</f>
        <v>0</v>
      </c>
      <c r="L167" s="496" t="str">
        <f t="shared" si="68"/>
        <v/>
      </c>
      <c r="M167" s="129">
        <f t="shared" si="77"/>
        <v>0</v>
      </c>
      <c r="N167" s="547">
        <f t="shared" si="54"/>
        <v>0</v>
      </c>
      <c r="O167" s="130">
        <f t="shared" si="78"/>
        <v>0</v>
      </c>
      <c r="P167" s="131">
        <f t="shared" si="64"/>
        <v>0</v>
      </c>
      <c r="Q167" s="578">
        <f t="shared" si="67"/>
        <v>2</v>
      </c>
      <c r="R167" s="587"/>
      <c r="S167" s="482"/>
      <c r="T167" s="482"/>
      <c r="U167" s="482"/>
      <c r="V167" s="482"/>
      <c r="W167" s="482"/>
      <c r="X167" s="482"/>
      <c r="Y167" s="482"/>
      <c r="Z167" s="482"/>
      <c r="AA167" s="482"/>
      <c r="AB167" s="482"/>
      <c r="AC167" s="482"/>
      <c r="AD167" s="482"/>
      <c r="AE167" s="482"/>
      <c r="AF167" s="482"/>
      <c r="AG167" s="482"/>
      <c r="AH167" s="482"/>
      <c r="AI167" s="482"/>
      <c r="AJ167" s="482"/>
      <c r="AK167" s="482"/>
      <c r="AL167" s="482"/>
      <c r="AM167" s="482"/>
      <c r="AN167" s="482"/>
      <c r="AO167" s="482"/>
      <c r="AP167" s="482"/>
      <c r="AQ167" s="482"/>
      <c r="AR167" s="482"/>
      <c r="AS167" s="482"/>
      <c r="AT167" s="482"/>
      <c r="AU167" s="482"/>
      <c r="AV167" s="482"/>
      <c r="AW167" s="483"/>
      <c r="AX167" s="484">
        <f t="shared" si="69"/>
        <v>0</v>
      </c>
      <c r="AY167" s="501" t="str">
        <f t="shared" si="65"/>
        <v/>
      </c>
      <c r="AZ167" s="488">
        <f t="shared" si="66"/>
        <v>0</v>
      </c>
    </row>
    <row r="168" spans="1:52" s="57" customFormat="1" ht="24.9" customHeight="1" x14ac:dyDescent="0.25">
      <c r="A168" s="425" t="s">
        <v>361</v>
      </c>
      <c r="B168" s="97" t="s">
        <v>111</v>
      </c>
      <c r="C168" s="97" t="s">
        <v>554</v>
      </c>
      <c r="D168" s="145" t="s">
        <v>555</v>
      </c>
      <c r="E168" s="230" t="s">
        <v>169</v>
      </c>
      <c r="F168" s="414" t="s">
        <v>893</v>
      </c>
      <c r="G168" s="127">
        <v>64.56</v>
      </c>
      <c r="H168" s="303" t="str">
        <f>VLOOKUP($F168,'Leistungswerte UHR Schulen'!$C$6:$F$38,3,FALSE)</f>
        <v>W3</v>
      </c>
      <c r="I168" s="328">
        <f>VLOOKUP(H168,Turnus!$D$9:$E$26,2,FALSE)</f>
        <v>114.53571428571426</v>
      </c>
      <c r="J168" s="127">
        <f t="shared" si="76"/>
        <v>7394.4257142857132</v>
      </c>
      <c r="K168" s="128">
        <f>VLOOKUP($F168,'Leistungswerte UHR Schulen'!$C$6:$F$38,4,FALSE)</f>
        <v>0</v>
      </c>
      <c r="L168" s="496" t="str">
        <f t="shared" si="68"/>
        <v/>
      </c>
      <c r="M168" s="129">
        <f t="shared" si="77"/>
        <v>0</v>
      </c>
      <c r="N168" s="547">
        <f t="shared" si="54"/>
        <v>0</v>
      </c>
      <c r="O168" s="130">
        <f t="shared" si="78"/>
        <v>0</v>
      </c>
      <c r="P168" s="131">
        <f t="shared" si="64"/>
        <v>0</v>
      </c>
      <c r="Q168" s="578">
        <f t="shared" si="67"/>
        <v>1</v>
      </c>
      <c r="R168" s="587"/>
      <c r="S168" s="482"/>
      <c r="T168" s="482"/>
      <c r="U168" s="482"/>
      <c r="V168" s="482"/>
      <c r="W168" s="482"/>
      <c r="X168" s="482"/>
      <c r="Y168" s="482"/>
      <c r="Z168" s="482"/>
      <c r="AA168" s="482"/>
      <c r="AB168" s="482"/>
      <c r="AC168" s="482"/>
      <c r="AD168" s="482"/>
      <c r="AE168" s="482"/>
      <c r="AF168" s="482"/>
      <c r="AG168" s="482"/>
      <c r="AH168" s="482"/>
      <c r="AI168" s="482"/>
      <c r="AJ168" s="482"/>
      <c r="AK168" s="482"/>
      <c r="AL168" s="482"/>
      <c r="AM168" s="482"/>
      <c r="AN168" s="482"/>
      <c r="AO168" s="482"/>
      <c r="AP168" s="482"/>
      <c r="AQ168" s="482"/>
      <c r="AR168" s="482"/>
      <c r="AS168" s="482"/>
      <c r="AT168" s="482"/>
      <c r="AU168" s="482"/>
      <c r="AV168" s="482"/>
      <c r="AW168" s="483"/>
      <c r="AX168" s="484">
        <f t="shared" si="69"/>
        <v>0</v>
      </c>
      <c r="AY168" s="501" t="str">
        <f t="shared" si="65"/>
        <v/>
      </c>
      <c r="AZ168" s="488">
        <f t="shared" si="66"/>
        <v>0</v>
      </c>
    </row>
    <row r="169" spans="1:52" s="57" customFormat="1" ht="24.9" customHeight="1" x14ac:dyDescent="0.25">
      <c r="A169" s="425" t="s">
        <v>361</v>
      </c>
      <c r="B169" s="97" t="s">
        <v>111</v>
      </c>
      <c r="C169" s="97" t="s">
        <v>556</v>
      </c>
      <c r="D169" s="145" t="s">
        <v>864</v>
      </c>
      <c r="E169" s="230" t="s">
        <v>169</v>
      </c>
      <c r="F169" s="414" t="s">
        <v>687</v>
      </c>
      <c r="G169" s="127">
        <v>31.75</v>
      </c>
      <c r="H169" s="303" t="str">
        <f>VLOOKUP($F169,'Leistungswerte UHR Schulen'!$C$6:$F$38,3,FALSE)</f>
        <v>W1</v>
      </c>
      <c r="I169" s="328">
        <f>VLOOKUP(H169,Turnus!$D$9:$E$26,2,FALSE)</f>
        <v>38.178571428571388</v>
      </c>
      <c r="J169" s="127">
        <f t="shared" si="76"/>
        <v>1212.1696428571415</v>
      </c>
      <c r="K169" s="128">
        <f>VLOOKUP($F169,'Leistungswerte UHR Schulen'!$C$6:$F$38,4,FALSE)</f>
        <v>0</v>
      </c>
      <c r="L169" s="496" t="str">
        <f t="shared" si="68"/>
        <v/>
      </c>
      <c r="M169" s="129">
        <f t="shared" si="77"/>
        <v>0</v>
      </c>
      <c r="N169" s="547">
        <f t="shared" si="54"/>
        <v>0</v>
      </c>
      <c r="O169" s="130">
        <f t="shared" si="78"/>
        <v>0</v>
      </c>
      <c r="P169" s="131">
        <f t="shared" si="64"/>
        <v>0</v>
      </c>
      <c r="Q169" s="578">
        <f t="shared" si="67"/>
        <v>1</v>
      </c>
      <c r="R169" s="587"/>
      <c r="S169" s="482"/>
      <c r="T169" s="482"/>
      <c r="U169" s="482"/>
      <c r="V169" s="482"/>
      <c r="W169" s="482"/>
      <c r="X169" s="482"/>
      <c r="Y169" s="482"/>
      <c r="Z169" s="482"/>
      <c r="AA169" s="482"/>
      <c r="AB169" s="482"/>
      <c r="AC169" s="482"/>
      <c r="AD169" s="482"/>
      <c r="AE169" s="482"/>
      <c r="AF169" s="482"/>
      <c r="AG169" s="482"/>
      <c r="AH169" s="482"/>
      <c r="AI169" s="482"/>
      <c r="AJ169" s="482"/>
      <c r="AK169" s="482"/>
      <c r="AL169" s="482"/>
      <c r="AM169" s="482"/>
      <c r="AN169" s="482"/>
      <c r="AO169" s="482"/>
      <c r="AP169" s="482"/>
      <c r="AQ169" s="482"/>
      <c r="AR169" s="482"/>
      <c r="AS169" s="482"/>
      <c r="AT169" s="482"/>
      <c r="AU169" s="482"/>
      <c r="AV169" s="482"/>
      <c r="AW169" s="483"/>
      <c r="AX169" s="484">
        <f t="shared" si="69"/>
        <v>0</v>
      </c>
      <c r="AY169" s="501" t="str">
        <f t="shared" si="65"/>
        <v/>
      </c>
      <c r="AZ169" s="488">
        <f t="shared" si="66"/>
        <v>0</v>
      </c>
    </row>
    <row r="170" spans="1:52" s="57" customFormat="1" ht="24.9" customHeight="1" x14ac:dyDescent="0.25">
      <c r="A170" s="425" t="s">
        <v>361</v>
      </c>
      <c r="B170" s="97" t="s">
        <v>111</v>
      </c>
      <c r="C170" s="97" t="s">
        <v>558</v>
      </c>
      <c r="D170" s="145" t="s">
        <v>256</v>
      </c>
      <c r="E170" s="230" t="s">
        <v>169</v>
      </c>
      <c r="F170" s="414" t="s">
        <v>687</v>
      </c>
      <c r="G170" s="127">
        <v>31.88</v>
      </c>
      <c r="H170" s="303" t="str">
        <f>VLOOKUP($F170,'Leistungswerte UHR Schulen'!$C$6:$F$38,3,FALSE)</f>
        <v>W1</v>
      </c>
      <c r="I170" s="328">
        <f>VLOOKUP(H170,Turnus!$D$9:$E$26,2,FALSE)</f>
        <v>38.178571428571388</v>
      </c>
      <c r="J170" s="127">
        <f t="shared" si="76"/>
        <v>1217.1328571428558</v>
      </c>
      <c r="K170" s="128">
        <f>VLOOKUP($F170,'Leistungswerte UHR Schulen'!$C$6:$F$38,4,FALSE)</f>
        <v>0</v>
      </c>
      <c r="L170" s="496" t="str">
        <f t="shared" si="68"/>
        <v/>
      </c>
      <c r="M170" s="129">
        <f t="shared" si="77"/>
        <v>0</v>
      </c>
      <c r="N170" s="547">
        <f t="shared" si="54"/>
        <v>0</v>
      </c>
      <c r="O170" s="130">
        <f t="shared" si="78"/>
        <v>0</v>
      </c>
      <c r="P170" s="131">
        <f t="shared" si="64"/>
        <v>0</v>
      </c>
      <c r="Q170" s="578">
        <f t="shared" si="67"/>
        <v>1</v>
      </c>
      <c r="R170" s="587"/>
      <c r="S170" s="482"/>
      <c r="T170" s="482"/>
      <c r="U170" s="482"/>
      <c r="V170" s="482"/>
      <c r="W170" s="482"/>
      <c r="X170" s="482"/>
      <c r="Y170" s="482"/>
      <c r="Z170" s="482"/>
      <c r="AA170" s="482"/>
      <c r="AB170" s="482"/>
      <c r="AC170" s="482"/>
      <c r="AD170" s="482"/>
      <c r="AE170" s="482"/>
      <c r="AF170" s="482"/>
      <c r="AG170" s="482"/>
      <c r="AH170" s="482"/>
      <c r="AI170" s="482"/>
      <c r="AJ170" s="482"/>
      <c r="AK170" s="482"/>
      <c r="AL170" s="482"/>
      <c r="AM170" s="482"/>
      <c r="AN170" s="482"/>
      <c r="AO170" s="482"/>
      <c r="AP170" s="482"/>
      <c r="AQ170" s="482"/>
      <c r="AR170" s="482"/>
      <c r="AS170" s="482"/>
      <c r="AT170" s="482"/>
      <c r="AU170" s="482"/>
      <c r="AV170" s="482"/>
      <c r="AW170" s="483"/>
      <c r="AX170" s="484">
        <f t="shared" si="69"/>
        <v>0</v>
      </c>
      <c r="AY170" s="501" t="str">
        <f t="shared" si="65"/>
        <v/>
      </c>
      <c r="AZ170" s="488">
        <f t="shared" si="66"/>
        <v>0</v>
      </c>
    </row>
    <row r="171" spans="1:52" s="57" customFormat="1" ht="24.9" customHeight="1" x14ac:dyDescent="0.25">
      <c r="A171" s="425" t="s">
        <v>361</v>
      </c>
      <c r="B171" s="97" t="s">
        <v>111</v>
      </c>
      <c r="C171" s="97" t="s">
        <v>559</v>
      </c>
      <c r="D171" s="145" t="s">
        <v>557</v>
      </c>
      <c r="E171" s="230" t="s">
        <v>169</v>
      </c>
      <c r="F171" s="414" t="s">
        <v>893</v>
      </c>
      <c r="G171" s="127">
        <v>64.760000000000005</v>
      </c>
      <c r="H171" s="303" t="str">
        <f>VLOOKUP($F171,'Leistungswerte UHR Schulen'!$C$6:$F$38,3,FALSE)</f>
        <v>W3</v>
      </c>
      <c r="I171" s="328">
        <f>VLOOKUP(H171,Turnus!$D$9:$E$26,2,FALSE)</f>
        <v>114.53571428571426</v>
      </c>
      <c r="J171" s="127">
        <f t="shared" si="76"/>
        <v>7417.3328571428565</v>
      </c>
      <c r="K171" s="128">
        <f>VLOOKUP($F171,'Leistungswerte UHR Schulen'!$C$6:$F$38,4,FALSE)</f>
        <v>0</v>
      </c>
      <c r="L171" s="496" t="str">
        <f t="shared" si="68"/>
        <v/>
      </c>
      <c r="M171" s="129">
        <f t="shared" si="77"/>
        <v>0</v>
      </c>
      <c r="N171" s="547">
        <f t="shared" si="54"/>
        <v>0</v>
      </c>
      <c r="O171" s="130">
        <f t="shared" si="78"/>
        <v>0</v>
      </c>
      <c r="P171" s="131">
        <f t="shared" si="64"/>
        <v>0</v>
      </c>
      <c r="Q171" s="578">
        <f t="shared" si="67"/>
        <v>1</v>
      </c>
      <c r="R171" s="587"/>
      <c r="S171" s="482"/>
      <c r="T171" s="482"/>
      <c r="U171" s="482"/>
      <c r="V171" s="482"/>
      <c r="W171" s="482"/>
      <c r="X171" s="482"/>
      <c r="Y171" s="482"/>
      <c r="Z171" s="482"/>
      <c r="AA171" s="482"/>
      <c r="AB171" s="482"/>
      <c r="AC171" s="482"/>
      <c r="AD171" s="482"/>
      <c r="AE171" s="482"/>
      <c r="AF171" s="482"/>
      <c r="AG171" s="482"/>
      <c r="AH171" s="482"/>
      <c r="AI171" s="482"/>
      <c r="AJ171" s="482"/>
      <c r="AK171" s="482"/>
      <c r="AL171" s="482"/>
      <c r="AM171" s="482"/>
      <c r="AN171" s="482"/>
      <c r="AO171" s="482"/>
      <c r="AP171" s="482"/>
      <c r="AQ171" s="482"/>
      <c r="AR171" s="482"/>
      <c r="AS171" s="482"/>
      <c r="AT171" s="482"/>
      <c r="AU171" s="482"/>
      <c r="AV171" s="482"/>
      <c r="AW171" s="483"/>
      <c r="AX171" s="484">
        <f t="shared" si="69"/>
        <v>0</v>
      </c>
      <c r="AY171" s="501" t="str">
        <f t="shared" si="65"/>
        <v/>
      </c>
      <c r="AZ171" s="488">
        <f t="shared" si="66"/>
        <v>0</v>
      </c>
    </row>
    <row r="172" spans="1:52" s="57" customFormat="1" ht="24.9" customHeight="1" x14ac:dyDescent="0.25">
      <c r="A172" s="425" t="s">
        <v>361</v>
      </c>
      <c r="B172" s="97" t="s">
        <v>111</v>
      </c>
      <c r="C172" s="97" t="s">
        <v>573</v>
      </c>
      <c r="D172" s="145" t="s">
        <v>266</v>
      </c>
      <c r="E172" s="230" t="s">
        <v>619</v>
      </c>
      <c r="F172" s="414" t="s">
        <v>674</v>
      </c>
      <c r="G172" s="127">
        <v>48.96</v>
      </c>
      <c r="H172" s="97" t="str">
        <f>VLOOKUP($F172,'Leistungswerte UHR Schulen'!$C$6:$F$38,3,FALSE)</f>
        <v>W5</v>
      </c>
      <c r="I172" s="328">
        <f>VLOOKUP(H172,Turnus!$D$9:$E$26,2,FALSE)</f>
        <v>188.46428571428572</v>
      </c>
      <c r="J172" s="127">
        <f t="shared" si="76"/>
        <v>9227.2114285714288</v>
      </c>
      <c r="K172" s="128">
        <f>VLOOKUP($F172,'Leistungswerte UHR Schulen'!$C$6:$F$38,4,FALSE)</f>
        <v>0</v>
      </c>
      <c r="L172" s="496" t="str">
        <f t="shared" si="68"/>
        <v/>
      </c>
      <c r="M172" s="129">
        <f t="shared" si="77"/>
        <v>0</v>
      </c>
      <c r="N172" s="547">
        <f t="shared" si="54"/>
        <v>0</v>
      </c>
      <c r="O172" s="130">
        <f t="shared" si="78"/>
        <v>0</v>
      </c>
      <c r="P172" s="131">
        <f t="shared" si="64"/>
        <v>0</v>
      </c>
      <c r="Q172" s="578">
        <f t="shared" si="67"/>
        <v>1</v>
      </c>
      <c r="R172" s="587"/>
      <c r="S172" s="482"/>
      <c r="T172" s="482"/>
      <c r="U172" s="482"/>
      <c r="V172" s="482"/>
      <c r="W172" s="482"/>
      <c r="X172" s="482"/>
      <c r="Y172" s="482"/>
      <c r="Z172" s="482"/>
      <c r="AA172" s="482"/>
      <c r="AB172" s="482"/>
      <c r="AC172" s="482"/>
      <c r="AD172" s="482"/>
      <c r="AE172" s="482"/>
      <c r="AF172" s="482"/>
      <c r="AG172" s="482"/>
      <c r="AH172" s="482"/>
      <c r="AI172" s="482"/>
      <c r="AJ172" s="482"/>
      <c r="AK172" s="482"/>
      <c r="AL172" s="482"/>
      <c r="AM172" s="482"/>
      <c r="AN172" s="482"/>
      <c r="AO172" s="482"/>
      <c r="AP172" s="482"/>
      <c r="AQ172" s="482"/>
      <c r="AR172" s="482"/>
      <c r="AS172" s="482"/>
      <c r="AT172" s="482"/>
      <c r="AU172" s="482"/>
      <c r="AV172" s="482"/>
      <c r="AW172" s="483"/>
      <c r="AX172" s="484">
        <f t="shared" si="69"/>
        <v>0</v>
      </c>
      <c r="AY172" s="501" t="str">
        <f t="shared" si="65"/>
        <v/>
      </c>
      <c r="AZ172" s="488">
        <f t="shared" si="66"/>
        <v>0</v>
      </c>
    </row>
    <row r="173" spans="1:52" s="57" customFormat="1" ht="24.9" customHeight="1" x14ac:dyDescent="0.25">
      <c r="A173" s="425" t="s">
        <v>361</v>
      </c>
      <c r="B173" s="97" t="s">
        <v>111</v>
      </c>
      <c r="C173" s="97" t="s">
        <v>568</v>
      </c>
      <c r="D173" s="145" t="s">
        <v>102</v>
      </c>
      <c r="E173" s="230" t="s">
        <v>253</v>
      </c>
      <c r="F173" s="414" t="s">
        <v>676</v>
      </c>
      <c r="G173" s="127">
        <v>59.7</v>
      </c>
      <c r="H173" s="97" t="str">
        <f>VLOOKUP($F173,'Leistungswerte UHR Schulen'!$C$6:$F$38,3,FALSE)</f>
        <v>W5</v>
      </c>
      <c r="I173" s="328">
        <f>VLOOKUP(H173,Turnus!$D$9:$E$26,2,FALSE)</f>
        <v>188.46428571428572</v>
      </c>
      <c r="J173" s="127">
        <f t="shared" si="76"/>
        <v>11251.317857142858</v>
      </c>
      <c r="K173" s="128">
        <f>VLOOKUP($F173,'Leistungswerte UHR Schulen'!$C$6:$F$38,4,FALSE)</f>
        <v>0</v>
      </c>
      <c r="L173" s="496" t="str">
        <f t="shared" si="68"/>
        <v/>
      </c>
      <c r="M173" s="129">
        <f t="shared" si="77"/>
        <v>0</v>
      </c>
      <c r="N173" s="547">
        <f t="shared" si="54"/>
        <v>0</v>
      </c>
      <c r="O173" s="130">
        <f t="shared" si="78"/>
        <v>0</v>
      </c>
      <c r="P173" s="131">
        <f t="shared" si="64"/>
        <v>0</v>
      </c>
      <c r="Q173" s="578">
        <f t="shared" si="67"/>
        <v>1</v>
      </c>
      <c r="R173" s="587"/>
      <c r="S173" s="482"/>
      <c r="T173" s="482"/>
      <c r="U173" s="482"/>
      <c r="V173" s="482"/>
      <c r="W173" s="482"/>
      <c r="X173" s="482"/>
      <c r="Y173" s="482"/>
      <c r="Z173" s="482"/>
      <c r="AA173" s="482"/>
      <c r="AB173" s="482"/>
      <c r="AC173" s="482"/>
      <c r="AD173" s="482"/>
      <c r="AE173" s="482"/>
      <c r="AF173" s="482"/>
      <c r="AG173" s="482"/>
      <c r="AH173" s="482"/>
      <c r="AI173" s="482"/>
      <c r="AJ173" s="482"/>
      <c r="AK173" s="482"/>
      <c r="AL173" s="482"/>
      <c r="AM173" s="482"/>
      <c r="AN173" s="482"/>
      <c r="AO173" s="482"/>
      <c r="AP173" s="482"/>
      <c r="AQ173" s="482"/>
      <c r="AR173" s="482"/>
      <c r="AS173" s="482"/>
      <c r="AT173" s="482"/>
      <c r="AU173" s="482"/>
      <c r="AV173" s="482"/>
      <c r="AW173" s="483"/>
      <c r="AX173" s="484">
        <f t="shared" si="69"/>
        <v>0</v>
      </c>
      <c r="AY173" s="501" t="str">
        <f t="shared" si="65"/>
        <v/>
      </c>
      <c r="AZ173" s="488">
        <f t="shared" si="66"/>
        <v>0</v>
      </c>
    </row>
    <row r="174" spans="1:52" s="57" customFormat="1" ht="24.9" customHeight="1" x14ac:dyDescent="0.25">
      <c r="A174" s="425" t="s">
        <v>361</v>
      </c>
      <c r="B174" s="97" t="s">
        <v>111</v>
      </c>
      <c r="C174" s="97" t="s">
        <v>546</v>
      </c>
      <c r="D174" s="145" t="s">
        <v>274</v>
      </c>
      <c r="E174" s="230" t="s">
        <v>253</v>
      </c>
      <c r="F174" s="414" t="s">
        <v>668</v>
      </c>
      <c r="G174" s="127">
        <v>16.71</v>
      </c>
      <c r="H174" s="97" t="str">
        <f>VLOOKUP($F174,'Leistungswerte UHR Schulen'!$C$6:$F$38,3,FALSE)</f>
        <v>W1</v>
      </c>
      <c r="I174" s="328">
        <f>VLOOKUP(H174,Turnus!$D$9:$E$26,2,FALSE)</f>
        <v>38.178571428571388</v>
      </c>
      <c r="J174" s="127">
        <f t="shared" si="18"/>
        <v>637.96392857142791</v>
      </c>
      <c r="K174" s="128">
        <f>VLOOKUP($F174,'Leistungswerte UHR Schulen'!$C$6:$F$38,4,FALSE)</f>
        <v>0</v>
      </c>
      <c r="L174" s="496" t="str">
        <f t="shared" si="68"/>
        <v/>
      </c>
      <c r="M174" s="129">
        <f t="shared" si="19"/>
        <v>0</v>
      </c>
      <c r="N174" s="547">
        <f t="shared" si="54"/>
        <v>0</v>
      </c>
      <c r="O174" s="130">
        <f t="shared" si="20"/>
        <v>0</v>
      </c>
      <c r="P174" s="131">
        <f t="shared" si="64"/>
        <v>0</v>
      </c>
      <c r="Q174" s="578">
        <f t="shared" si="67"/>
        <v>1</v>
      </c>
      <c r="R174" s="587"/>
      <c r="S174" s="482"/>
      <c r="T174" s="482"/>
      <c r="U174" s="482"/>
      <c r="V174" s="482"/>
      <c r="W174" s="482"/>
      <c r="X174" s="482"/>
      <c r="Y174" s="482"/>
      <c r="Z174" s="482"/>
      <c r="AA174" s="482"/>
      <c r="AB174" s="482"/>
      <c r="AC174" s="482"/>
      <c r="AD174" s="482"/>
      <c r="AE174" s="482"/>
      <c r="AF174" s="482"/>
      <c r="AG174" s="482"/>
      <c r="AH174" s="482"/>
      <c r="AI174" s="482"/>
      <c r="AJ174" s="482"/>
      <c r="AK174" s="482"/>
      <c r="AL174" s="482"/>
      <c r="AM174" s="482"/>
      <c r="AN174" s="482"/>
      <c r="AO174" s="482"/>
      <c r="AP174" s="482"/>
      <c r="AQ174" s="482"/>
      <c r="AR174" s="482"/>
      <c r="AS174" s="482"/>
      <c r="AT174" s="482"/>
      <c r="AU174" s="482"/>
      <c r="AV174" s="482"/>
      <c r="AW174" s="483"/>
      <c r="AX174" s="484">
        <f t="shared" si="69"/>
        <v>0</v>
      </c>
      <c r="AY174" s="501" t="str">
        <f t="shared" si="65"/>
        <v/>
      </c>
      <c r="AZ174" s="488">
        <f t="shared" si="66"/>
        <v>0</v>
      </c>
    </row>
    <row r="175" spans="1:52" s="57" customFormat="1" ht="24.9" customHeight="1" x14ac:dyDescent="0.25">
      <c r="A175" s="425" t="s">
        <v>361</v>
      </c>
      <c r="B175" s="97" t="s">
        <v>111</v>
      </c>
      <c r="C175" s="97" t="s">
        <v>547</v>
      </c>
      <c r="D175" s="145" t="s">
        <v>385</v>
      </c>
      <c r="E175" s="230" t="s">
        <v>171</v>
      </c>
      <c r="F175" s="414" t="s">
        <v>670</v>
      </c>
      <c r="G175" s="127">
        <v>11.47</v>
      </c>
      <c r="H175" s="97" t="str">
        <f>VLOOKUP($F175,'Leistungswerte UHR Schulen'!$C$6:$F$38,3,FALSE)</f>
        <v>W5</v>
      </c>
      <c r="I175" s="328">
        <f>VLOOKUP(H175,Turnus!$D$9:$E$26,2,FALSE)</f>
        <v>188.46428571428572</v>
      </c>
      <c r="J175" s="127">
        <f t="shared" si="18"/>
        <v>2161.6853571428574</v>
      </c>
      <c r="K175" s="128">
        <f>VLOOKUP($F175,'Leistungswerte UHR Schulen'!$C$6:$F$38,4,FALSE)</f>
        <v>0</v>
      </c>
      <c r="L175" s="496" t="str">
        <f t="shared" si="68"/>
        <v/>
      </c>
      <c r="M175" s="129">
        <f t="shared" si="19"/>
        <v>0</v>
      </c>
      <c r="N175" s="547">
        <f t="shared" si="54"/>
        <v>0</v>
      </c>
      <c r="O175" s="130">
        <f t="shared" si="20"/>
        <v>0</v>
      </c>
      <c r="P175" s="131">
        <f t="shared" si="64"/>
        <v>0</v>
      </c>
      <c r="Q175" s="578">
        <f t="shared" si="67"/>
        <v>1</v>
      </c>
      <c r="R175" s="587"/>
      <c r="S175" s="482"/>
      <c r="T175" s="482"/>
      <c r="U175" s="482"/>
      <c r="V175" s="482"/>
      <c r="W175" s="482"/>
      <c r="X175" s="482"/>
      <c r="Y175" s="482"/>
      <c r="Z175" s="482"/>
      <c r="AA175" s="482"/>
      <c r="AB175" s="482"/>
      <c r="AC175" s="482"/>
      <c r="AD175" s="482"/>
      <c r="AE175" s="482"/>
      <c r="AF175" s="482"/>
      <c r="AG175" s="482"/>
      <c r="AH175" s="482"/>
      <c r="AI175" s="482"/>
      <c r="AJ175" s="482"/>
      <c r="AK175" s="482"/>
      <c r="AL175" s="482"/>
      <c r="AM175" s="482"/>
      <c r="AN175" s="482"/>
      <c r="AO175" s="482"/>
      <c r="AP175" s="482"/>
      <c r="AQ175" s="482"/>
      <c r="AR175" s="482"/>
      <c r="AS175" s="482"/>
      <c r="AT175" s="482"/>
      <c r="AU175" s="482"/>
      <c r="AV175" s="482"/>
      <c r="AW175" s="483"/>
      <c r="AX175" s="484">
        <f t="shared" si="69"/>
        <v>0</v>
      </c>
      <c r="AY175" s="501" t="str">
        <f t="shared" si="65"/>
        <v/>
      </c>
      <c r="AZ175" s="488">
        <f t="shared" si="66"/>
        <v>0</v>
      </c>
    </row>
    <row r="176" spans="1:52" s="57" customFormat="1" ht="24.9" customHeight="1" x14ac:dyDescent="0.25">
      <c r="A176" s="425" t="s">
        <v>361</v>
      </c>
      <c r="B176" s="97" t="s">
        <v>111</v>
      </c>
      <c r="C176" s="97" t="s">
        <v>548</v>
      </c>
      <c r="D176" s="145" t="s">
        <v>387</v>
      </c>
      <c r="E176" s="230" t="s">
        <v>171</v>
      </c>
      <c r="F176" s="414" t="s">
        <v>670</v>
      </c>
      <c r="G176" s="127">
        <v>7.41</v>
      </c>
      <c r="H176" s="97" t="str">
        <f>VLOOKUP($F176,'Leistungswerte UHR Schulen'!$C$6:$F$38,3,FALSE)</f>
        <v>W5</v>
      </c>
      <c r="I176" s="328">
        <f>VLOOKUP(H176,Turnus!$D$9:$E$26,2,FALSE)</f>
        <v>188.46428571428572</v>
      </c>
      <c r="J176" s="127">
        <f t="shared" si="18"/>
        <v>1396.5203571428572</v>
      </c>
      <c r="K176" s="128">
        <f>VLOOKUP($F176,'Leistungswerte UHR Schulen'!$C$6:$F$38,4,FALSE)</f>
        <v>0</v>
      </c>
      <c r="L176" s="496" t="str">
        <f t="shared" si="68"/>
        <v/>
      </c>
      <c r="M176" s="129">
        <f t="shared" si="19"/>
        <v>0</v>
      </c>
      <c r="N176" s="547">
        <f t="shared" si="54"/>
        <v>0</v>
      </c>
      <c r="O176" s="130">
        <f t="shared" si="20"/>
        <v>0</v>
      </c>
      <c r="P176" s="131">
        <f t="shared" si="64"/>
        <v>0</v>
      </c>
      <c r="Q176" s="578">
        <f t="shared" si="67"/>
        <v>1</v>
      </c>
      <c r="R176" s="587"/>
      <c r="S176" s="482"/>
      <c r="T176" s="482"/>
      <c r="U176" s="482"/>
      <c r="V176" s="482"/>
      <c r="W176" s="482"/>
      <c r="X176" s="482"/>
      <c r="Y176" s="482"/>
      <c r="Z176" s="482"/>
      <c r="AA176" s="482"/>
      <c r="AB176" s="482"/>
      <c r="AC176" s="482"/>
      <c r="AD176" s="482"/>
      <c r="AE176" s="482"/>
      <c r="AF176" s="482"/>
      <c r="AG176" s="482"/>
      <c r="AH176" s="482"/>
      <c r="AI176" s="482"/>
      <c r="AJ176" s="482"/>
      <c r="AK176" s="482"/>
      <c r="AL176" s="482"/>
      <c r="AM176" s="482"/>
      <c r="AN176" s="482"/>
      <c r="AO176" s="482"/>
      <c r="AP176" s="482"/>
      <c r="AQ176" s="482"/>
      <c r="AR176" s="482"/>
      <c r="AS176" s="482"/>
      <c r="AT176" s="482"/>
      <c r="AU176" s="482"/>
      <c r="AV176" s="482"/>
      <c r="AW176" s="483"/>
      <c r="AX176" s="484">
        <f t="shared" si="69"/>
        <v>0</v>
      </c>
      <c r="AY176" s="501" t="str">
        <f t="shared" si="65"/>
        <v/>
      </c>
      <c r="AZ176" s="488">
        <f t="shared" si="66"/>
        <v>0</v>
      </c>
    </row>
    <row r="177" spans="1:52" s="57" customFormat="1" ht="24.9" customHeight="1" x14ac:dyDescent="0.25">
      <c r="A177" s="425" t="s">
        <v>361</v>
      </c>
      <c r="B177" s="97" t="s">
        <v>111</v>
      </c>
      <c r="C177" s="97" t="s">
        <v>549</v>
      </c>
      <c r="D177" s="145" t="s">
        <v>270</v>
      </c>
      <c r="E177" s="230" t="s">
        <v>171</v>
      </c>
      <c r="F177" s="414" t="s">
        <v>670</v>
      </c>
      <c r="G177" s="127">
        <v>11.47</v>
      </c>
      <c r="H177" s="97" t="str">
        <f>VLOOKUP($F177,'Leistungswerte UHR Schulen'!$C$6:$F$38,3,FALSE)</f>
        <v>W5</v>
      </c>
      <c r="I177" s="328">
        <f>VLOOKUP(H177,Turnus!$D$9:$E$26,2,FALSE)</f>
        <v>188.46428571428572</v>
      </c>
      <c r="J177" s="127">
        <f t="shared" si="18"/>
        <v>2161.6853571428574</v>
      </c>
      <c r="K177" s="128">
        <f>VLOOKUP($F177,'Leistungswerte UHR Schulen'!$C$6:$F$38,4,FALSE)</f>
        <v>0</v>
      </c>
      <c r="L177" s="496" t="str">
        <f t="shared" si="68"/>
        <v/>
      </c>
      <c r="M177" s="129">
        <f t="shared" si="19"/>
        <v>0</v>
      </c>
      <c r="N177" s="547">
        <f t="shared" si="54"/>
        <v>0</v>
      </c>
      <c r="O177" s="130">
        <f t="shared" si="20"/>
        <v>0</v>
      </c>
      <c r="P177" s="131">
        <f t="shared" si="64"/>
        <v>0</v>
      </c>
      <c r="Q177" s="578">
        <f t="shared" si="67"/>
        <v>1</v>
      </c>
      <c r="R177" s="587"/>
      <c r="S177" s="482"/>
      <c r="T177" s="482"/>
      <c r="U177" s="482"/>
      <c r="V177" s="482"/>
      <c r="W177" s="482"/>
      <c r="X177" s="482"/>
      <c r="Y177" s="482"/>
      <c r="Z177" s="482"/>
      <c r="AA177" s="482"/>
      <c r="AB177" s="482"/>
      <c r="AC177" s="482"/>
      <c r="AD177" s="482"/>
      <c r="AE177" s="482"/>
      <c r="AF177" s="482"/>
      <c r="AG177" s="482"/>
      <c r="AH177" s="482"/>
      <c r="AI177" s="482"/>
      <c r="AJ177" s="482"/>
      <c r="AK177" s="482"/>
      <c r="AL177" s="482"/>
      <c r="AM177" s="482"/>
      <c r="AN177" s="482"/>
      <c r="AO177" s="482"/>
      <c r="AP177" s="482"/>
      <c r="AQ177" s="482"/>
      <c r="AR177" s="482"/>
      <c r="AS177" s="482"/>
      <c r="AT177" s="482"/>
      <c r="AU177" s="482"/>
      <c r="AV177" s="482"/>
      <c r="AW177" s="483"/>
      <c r="AX177" s="484">
        <f t="shared" si="69"/>
        <v>0</v>
      </c>
      <c r="AY177" s="501" t="str">
        <f t="shared" si="65"/>
        <v/>
      </c>
      <c r="AZ177" s="488">
        <f t="shared" si="66"/>
        <v>0</v>
      </c>
    </row>
    <row r="178" spans="1:52" s="57" customFormat="1" ht="24.9" customHeight="1" x14ac:dyDescent="0.25">
      <c r="A178" s="424" t="s">
        <v>362</v>
      </c>
      <c r="B178" s="97" t="s">
        <v>111</v>
      </c>
      <c r="C178" s="97" t="s">
        <v>570</v>
      </c>
      <c r="D178" s="145" t="s">
        <v>102</v>
      </c>
      <c r="E178" s="230" t="s">
        <v>253</v>
      </c>
      <c r="F178" s="414" t="s">
        <v>676</v>
      </c>
      <c r="G178" s="127">
        <v>66.97</v>
      </c>
      <c r="H178" s="97" t="str">
        <f>VLOOKUP($F178,'Leistungswerte UHR Kigas'!$C$6:$F$32,3,FALSE)</f>
        <v>W5</v>
      </c>
      <c r="I178" s="328">
        <f>VLOOKUP(H178,Turnus!$H$9:$I$26,2,FALSE)</f>
        <v>230</v>
      </c>
      <c r="J178" s="127">
        <f>+G178*I178</f>
        <v>15403.1</v>
      </c>
      <c r="K178" s="128">
        <f>VLOOKUP($F178,'Leistungswerte UHR Kigas'!$C$6:$F$44,4,FALSE)</f>
        <v>0</v>
      </c>
      <c r="L178" s="496" t="str">
        <f t="shared" si="68"/>
        <v/>
      </c>
      <c r="M178" s="129">
        <f>IF(ISERROR(J178/K178),0,J178/K178)</f>
        <v>0</v>
      </c>
      <c r="N178" s="547">
        <f t="shared" si="54"/>
        <v>0</v>
      </c>
      <c r="O178" s="130">
        <f>IF(ISERROR(G178/K178*N178),0,G178/K178*N178)</f>
        <v>0</v>
      </c>
      <c r="P178" s="131">
        <f t="shared" si="64"/>
        <v>0</v>
      </c>
      <c r="Q178" s="578">
        <f t="shared" si="67"/>
        <v>2</v>
      </c>
      <c r="R178" s="587"/>
      <c r="S178" s="482"/>
      <c r="T178" s="482"/>
      <c r="U178" s="482"/>
      <c r="V178" s="482"/>
      <c r="W178" s="482"/>
      <c r="X178" s="482"/>
      <c r="Y178" s="482"/>
      <c r="Z178" s="482"/>
      <c r="AA178" s="482"/>
      <c r="AB178" s="482"/>
      <c r="AC178" s="482"/>
      <c r="AD178" s="482"/>
      <c r="AE178" s="482"/>
      <c r="AF178" s="482"/>
      <c r="AG178" s="482"/>
      <c r="AH178" s="482"/>
      <c r="AI178" s="482"/>
      <c r="AJ178" s="482"/>
      <c r="AK178" s="482"/>
      <c r="AL178" s="482"/>
      <c r="AM178" s="482"/>
      <c r="AN178" s="482"/>
      <c r="AO178" s="482"/>
      <c r="AP178" s="482"/>
      <c r="AQ178" s="482"/>
      <c r="AR178" s="482"/>
      <c r="AS178" s="482"/>
      <c r="AT178" s="482"/>
      <c r="AU178" s="482"/>
      <c r="AV178" s="482"/>
      <c r="AW178" s="483"/>
      <c r="AX178" s="484">
        <f t="shared" si="69"/>
        <v>0</v>
      </c>
      <c r="AY178" s="501" t="str">
        <f t="shared" si="65"/>
        <v/>
      </c>
      <c r="AZ178" s="488">
        <f t="shared" si="66"/>
        <v>0</v>
      </c>
    </row>
    <row r="179" spans="1:52" s="57" customFormat="1" ht="24.9" customHeight="1" x14ac:dyDescent="0.25">
      <c r="A179" s="424" t="s">
        <v>362</v>
      </c>
      <c r="B179" s="97" t="s">
        <v>111</v>
      </c>
      <c r="C179" s="97" t="s">
        <v>550</v>
      </c>
      <c r="D179" s="145" t="s">
        <v>257</v>
      </c>
      <c r="E179" s="230" t="s">
        <v>169</v>
      </c>
      <c r="F179" s="414" t="s">
        <v>669</v>
      </c>
      <c r="G179" s="127">
        <v>47.36</v>
      </c>
      <c r="H179" s="97" t="str">
        <f>VLOOKUP($F179,'Leistungswerte UHR Kigas'!$C$6:$F$32,3,FALSE)</f>
        <v>W5</v>
      </c>
      <c r="I179" s="328">
        <f>VLOOKUP(H179,Turnus!$H$9:$I$26,2,FALSE)</f>
        <v>230</v>
      </c>
      <c r="J179" s="127">
        <f t="shared" si="18"/>
        <v>10892.8</v>
      </c>
      <c r="K179" s="128">
        <f>VLOOKUP($F179,'Leistungswerte UHR Kigas'!$C$6:$F$44,4,FALSE)</f>
        <v>0</v>
      </c>
      <c r="L179" s="496" t="str">
        <f t="shared" si="68"/>
        <v/>
      </c>
      <c r="M179" s="129">
        <f t="shared" si="19"/>
        <v>0</v>
      </c>
      <c r="N179" s="547">
        <f t="shared" si="54"/>
        <v>0</v>
      </c>
      <c r="O179" s="130">
        <f t="shared" si="20"/>
        <v>0</v>
      </c>
      <c r="P179" s="131">
        <f t="shared" si="64"/>
        <v>0</v>
      </c>
      <c r="Q179" s="578">
        <f t="shared" si="67"/>
        <v>2</v>
      </c>
      <c r="R179" s="587"/>
      <c r="S179" s="482"/>
      <c r="T179" s="482"/>
      <c r="U179" s="482"/>
      <c r="V179" s="482"/>
      <c r="W179" s="482"/>
      <c r="X179" s="482"/>
      <c r="Y179" s="482"/>
      <c r="Z179" s="482"/>
      <c r="AA179" s="482"/>
      <c r="AB179" s="482"/>
      <c r="AC179" s="482"/>
      <c r="AD179" s="482"/>
      <c r="AE179" s="482"/>
      <c r="AF179" s="482"/>
      <c r="AG179" s="482"/>
      <c r="AH179" s="482"/>
      <c r="AI179" s="482"/>
      <c r="AJ179" s="482"/>
      <c r="AK179" s="482"/>
      <c r="AL179" s="482"/>
      <c r="AM179" s="482"/>
      <c r="AN179" s="482"/>
      <c r="AO179" s="482"/>
      <c r="AP179" s="482"/>
      <c r="AQ179" s="482"/>
      <c r="AR179" s="482"/>
      <c r="AS179" s="482"/>
      <c r="AT179" s="482"/>
      <c r="AU179" s="482"/>
      <c r="AV179" s="482"/>
      <c r="AW179" s="483"/>
      <c r="AX179" s="484">
        <f t="shared" si="69"/>
        <v>0</v>
      </c>
      <c r="AY179" s="501" t="str">
        <f t="shared" si="65"/>
        <v/>
      </c>
      <c r="AZ179" s="488">
        <f t="shared" si="66"/>
        <v>0</v>
      </c>
    </row>
    <row r="180" spans="1:52" s="57" customFormat="1" ht="24.9" customHeight="1" x14ac:dyDescent="0.25">
      <c r="A180" s="424" t="s">
        <v>362</v>
      </c>
      <c r="B180" s="97" t="s">
        <v>111</v>
      </c>
      <c r="C180" s="97" t="s">
        <v>551</v>
      </c>
      <c r="D180" s="145" t="s">
        <v>270</v>
      </c>
      <c r="E180" s="230" t="s">
        <v>171</v>
      </c>
      <c r="F180" s="414" t="s">
        <v>670</v>
      </c>
      <c r="G180" s="127">
        <v>11.47</v>
      </c>
      <c r="H180" s="97" t="str">
        <f>VLOOKUP($F180,'Leistungswerte UHR Kigas'!$C$6:$F$32,3,FALSE)</f>
        <v>W5</v>
      </c>
      <c r="I180" s="328">
        <f>VLOOKUP(H180,Turnus!$H$9:$I$26,2,FALSE)</f>
        <v>230</v>
      </c>
      <c r="J180" s="127">
        <f t="shared" si="18"/>
        <v>2638.1000000000004</v>
      </c>
      <c r="K180" s="128">
        <f>VLOOKUP($F180,'Leistungswerte UHR Kigas'!$C$6:$F$44,4,FALSE)</f>
        <v>0</v>
      </c>
      <c r="L180" s="496" t="str">
        <f t="shared" si="68"/>
        <v/>
      </c>
      <c r="M180" s="129">
        <f t="shared" si="19"/>
        <v>0</v>
      </c>
      <c r="N180" s="547">
        <f t="shared" si="54"/>
        <v>0</v>
      </c>
      <c r="O180" s="130">
        <f t="shared" si="20"/>
        <v>0</v>
      </c>
      <c r="P180" s="131">
        <f t="shared" si="64"/>
        <v>0</v>
      </c>
      <c r="Q180" s="578">
        <f t="shared" si="67"/>
        <v>2</v>
      </c>
      <c r="R180" s="587"/>
      <c r="S180" s="482"/>
      <c r="T180" s="482"/>
      <c r="U180" s="482"/>
      <c r="V180" s="482"/>
      <c r="W180" s="482"/>
      <c r="X180" s="482"/>
      <c r="Y180" s="482"/>
      <c r="Z180" s="482"/>
      <c r="AA180" s="482"/>
      <c r="AB180" s="482"/>
      <c r="AC180" s="482"/>
      <c r="AD180" s="482"/>
      <c r="AE180" s="482"/>
      <c r="AF180" s="482"/>
      <c r="AG180" s="482"/>
      <c r="AH180" s="482"/>
      <c r="AI180" s="482"/>
      <c r="AJ180" s="482"/>
      <c r="AK180" s="482"/>
      <c r="AL180" s="482"/>
      <c r="AM180" s="482"/>
      <c r="AN180" s="482"/>
      <c r="AO180" s="482"/>
      <c r="AP180" s="482"/>
      <c r="AQ180" s="482"/>
      <c r="AR180" s="482"/>
      <c r="AS180" s="482"/>
      <c r="AT180" s="482"/>
      <c r="AU180" s="482"/>
      <c r="AV180" s="482"/>
      <c r="AW180" s="483"/>
      <c r="AX180" s="484">
        <f t="shared" si="69"/>
        <v>0</v>
      </c>
      <c r="AY180" s="501" t="str">
        <f t="shared" si="65"/>
        <v/>
      </c>
      <c r="AZ180" s="488">
        <f t="shared" si="66"/>
        <v>0</v>
      </c>
    </row>
    <row r="181" spans="1:52" s="57" customFormat="1" ht="24.9" customHeight="1" x14ac:dyDescent="0.25">
      <c r="A181" s="424" t="s">
        <v>362</v>
      </c>
      <c r="B181" s="97" t="s">
        <v>111</v>
      </c>
      <c r="C181" s="97" t="s">
        <v>722</v>
      </c>
      <c r="D181" s="145" t="s">
        <v>719</v>
      </c>
      <c r="E181" s="230" t="s">
        <v>171</v>
      </c>
      <c r="F181" s="414" t="s">
        <v>708</v>
      </c>
      <c r="G181" s="127">
        <v>3.84</v>
      </c>
      <c r="H181" s="97" t="str">
        <f>VLOOKUP($F181,'Leistungswerte UHR Kigas'!$C$6:$F$32,3,FALSE)</f>
        <v>kR</v>
      </c>
      <c r="I181" s="328">
        <f>VLOOKUP(H181,Turnus!$H$9:$I$26,2,FALSE)</f>
        <v>0</v>
      </c>
      <c r="J181" s="127">
        <f t="shared" si="18"/>
        <v>0</v>
      </c>
      <c r="K181" s="128">
        <f>VLOOKUP($F181,'Leistungswerte UHR Kigas'!$C$6:$F$44,4,FALSE)</f>
        <v>0</v>
      </c>
      <c r="L181" s="496" t="str">
        <f t="shared" si="68"/>
        <v/>
      </c>
      <c r="M181" s="129">
        <f t="shared" si="19"/>
        <v>0</v>
      </c>
      <c r="N181" s="547">
        <f t="shared" si="54"/>
        <v>0</v>
      </c>
      <c r="O181" s="130">
        <f t="shared" si="20"/>
        <v>0</v>
      </c>
      <c r="P181" s="131">
        <f t="shared" si="64"/>
        <v>0</v>
      </c>
      <c r="Q181" s="578">
        <f t="shared" si="67"/>
        <v>2</v>
      </c>
      <c r="R181" s="587"/>
      <c r="S181" s="482"/>
      <c r="T181" s="482"/>
      <c r="U181" s="482"/>
      <c r="V181" s="482"/>
      <c r="W181" s="482"/>
      <c r="X181" s="482"/>
      <c r="Y181" s="482"/>
      <c r="Z181" s="482"/>
      <c r="AA181" s="482"/>
      <c r="AB181" s="482"/>
      <c r="AC181" s="482"/>
      <c r="AD181" s="482"/>
      <c r="AE181" s="482"/>
      <c r="AF181" s="482"/>
      <c r="AG181" s="482"/>
      <c r="AH181" s="482"/>
      <c r="AI181" s="482"/>
      <c r="AJ181" s="482"/>
      <c r="AK181" s="482"/>
      <c r="AL181" s="482"/>
      <c r="AM181" s="482"/>
      <c r="AN181" s="482"/>
      <c r="AO181" s="482"/>
      <c r="AP181" s="482"/>
      <c r="AQ181" s="482"/>
      <c r="AR181" s="482"/>
      <c r="AS181" s="482"/>
      <c r="AT181" s="482"/>
      <c r="AU181" s="482"/>
      <c r="AV181" s="482"/>
      <c r="AW181" s="483"/>
      <c r="AX181" s="484">
        <f t="shared" si="69"/>
        <v>0</v>
      </c>
      <c r="AY181" s="501" t="str">
        <f t="shared" si="65"/>
        <v/>
      </c>
      <c r="AZ181" s="488">
        <f t="shared" si="66"/>
        <v>0</v>
      </c>
    </row>
    <row r="182" spans="1:52" s="57" customFormat="1" ht="24.9" customHeight="1" x14ac:dyDescent="0.25">
      <c r="A182" s="424" t="s">
        <v>362</v>
      </c>
      <c r="B182" s="97" t="s">
        <v>111</v>
      </c>
      <c r="C182" s="97" t="s">
        <v>552</v>
      </c>
      <c r="D182" s="230" t="s">
        <v>382</v>
      </c>
      <c r="E182" s="230" t="s">
        <v>171</v>
      </c>
      <c r="F182" s="228" t="s">
        <v>670</v>
      </c>
      <c r="G182" s="127">
        <v>3.84</v>
      </c>
      <c r="H182" s="97" t="str">
        <f>VLOOKUP($F182,'Leistungswerte UHR Kigas'!$C$6:$F$32,3,FALSE)</f>
        <v>W5</v>
      </c>
      <c r="I182" s="328">
        <f>VLOOKUP(H182,Turnus!$H$9:$I$26,2,FALSE)</f>
        <v>230</v>
      </c>
      <c r="J182" s="127">
        <f t="shared" si="18"/>
        <v>883.19999999999993</v>
      </c>
      <c r="K182" s="128">
        <f>VLOOKUP($F182,'Leistungswerte UHR Kigas'!$C$6:$F$44,4,FALSE)</f>
        <v>0</v>
      </c>
      <c r="L182" s="496" t="str">
        <f t="shared" si="68"/>
        <v/>
      </c>
      <c r="M182" s="129">
        <f t="shared" si="19"/>
        <v>0</v>
      </c>
      <c r="N182" s="547">
        <f t="shared" si="54"/>
        <v>0</v>
      </c>
      <c r="O182" s="130">
        <f t="shared" si="20"/>
        <v>0</v>
      </c>
      <c r="P182" s="131">
        <f t="shared" si="64"/>
        <v>0</v>
      </c>
      <c r="Q182" s="578">
        <f t="shared" si="67"/>
        <v>2</v>
      </c>
      <c r="R182" s="587"/>
      <c r="S182" s="482"/>
      <c r="T182" s="482"/>
      <c r="U182" s="482"/>
      <c r="V182" s="482"/>
      <c r="W182" s="482"/>
      <c r="X182" s="482"/>
      <c r="Y182" s="482"/>
      <c r="Z182" s="482"/>
      <c r="AA182" s="482"/>
      <c r="AB182" s="482"/>
      <c r="AC182" s="482"/>
      <c r="AD182" s="482"/>
      <c r="AE182" s="482"/>
      <c r="AF182" s="482"/>
      <c r="AG182" s="482"/>
      <c r="AH182" s="482"/>
      <c r="AI182" s="482"/>
      <c r="AJ182" s="482"/>
      <c r="AK182" s="482"/>
      <c r="AL182" s="482"/>
      <c r="AM182" s="482"/>
      <c r="AN182" s="482"/>
      <c r="AO182" s="482"/>
      <c r="AP182" s="482"/>
      <c r="AQ182" s="482"/>
      <c r="AR182" s="482"/>
      <c r="AS182" s="482"/>
      <c r="AT182" s="482"/>
      <c r="AU182" s="482"/>
      <c r="AV182" s="482"/>
      <c r="AW182" s="483"/>
      <c r="AX182" s="484">
        <f t="shared" si="69"/>
        <v>0</v>
      </c>
      <c r="AY182" s="501" t="str">
        <f t="shared" si="65"/>
        <v/>
      </c>
      <c r="AZ182" s="488">
        <f t="shared" si="66"/>
        <v>0</v>
      </c>
    </row>
    <row r="183" spans="1:52" s="57" customFormat="1" ht="24.9" customHeight="1" x14ac:dyDescent="0.25">
      <c r="A183" s="424" t="s">
        <v>362</v>
      </c>
      <c r="B183" s="97" t="s">
        <v>111</v>
      </c>
      <c r="C183" s="97" t="s">
        <v>553</v>
      </c>
      <c r="D183" s="531" t="s">
        <v>385</v>
      </c>
      <c r="E183" s="230" t="s">
        <v>171</v>
      </c>
      <c r="F183" s="228" t="s">
        <v>670</v>
      </c>
      <c r="G183" s="127">
        <v>11.47</v>
      </c>
      <c r="H183" s="97" t="str">
        <f>VLOOKUP($F183,'Leistungswerte UHR Kigas'!$C$6:$F$32,3,FALSE)</f>
        <v>W5</v>
      </c>
      <c r="I183" s="328">
        <f>VLOOKUP(H183,Turnus!$H$9:$I$26,2,FALSE)</f>
        <v>230</v>
      </c>
      <c r="J183" s="127">
        <f t="shared" si="18"/>
        <v>2638.1000000000004</v>
      </c>
      <c r="K183" s="128">
        <f>VLOOKUP($F183,'Leistungswerte UHR Kigas'!$C$6:$F$44,4,FALSE)</f>
        <v>0</v>
      </c>
      <c r="L183" s="496" t="str">
        <f t="shared" si="68"/>
        <v/>
      </c>
      <c r="M183" s="129">
        <f t="shared" si="19"/>
        <v>0</v>
      </c>
      <c r="N183" s="547">
        <f t="shared" si="54"/>
        <v>0</v>
      </c>
      <c r="O183" s="130">
        <f t="shared" si="20"/>
        <v>0</v>
      </c>
      <c r="P183" s="131">
        <f t="shared" si="64"/>
        <v>0</v>
      </c>
      <c r="Q183" s="578">
        <f t="shared" si="67"/>
        <v>2</v>
      </c>
      <c r="R183" s="587"/>
      <c r="S183" s="482"/>
      <c r="T183" s="482"/>
      <c r="U183" s="482"/>
      <c r="V183" s="482"/>
      <c r="W183" s="482"/>
      <c r="X183" s="482"/>
      <c r="Y183" s="482"/>
      <c r="Z183" s="482"/>
      <c r="AA183" s="482"/>
      <c r="AB183" s="482"/>
      <c r="AC183" s="482"/>
      <c r="AD183" s="482"/>
      <c r="AE183" s="482"/>
      <c r="AF183" s="482"/>
      <c r="AG183" s="482"/>
      <c r="AH183" s="482"/>
      <c r="AI183" s="482"/>
      <c r="AJ183" s="482"/>
      <c r="AK183" s="482"/>
      <c r="AL183" s="482"/>
      <c r="AM183" s="482"/>
      <c r="AN183" s="482"/>
      <c r="AO183" s="482"/>
      <c r="AP183" s="482"/>
      <c r="AQ183" s="482"/>
      <c r="AR183" s="482"/>
      <c r="AS183" s="482"/>
      <c r="AT183" s="482"/>
      <c r="AU183" s="482"/>
      <c r="AV183" s="482"/>
      <c r="AW183" s="483"/>
      <c r="AX183" s="484">
        <f t="shared" si="69"/>
        <v>0</v>
      </c>
      <c r="AY183" s="501" t="str">
        <f t="shared" si="65"/>
        <v/>
      </c>
      <c r="AZ183" s="488">
        <f t="shared" si="66"/>
        <v>0</v>
      </c>
    </row>
    <row r="184" spans="1:52" s="57" customFormat="1" ht="24.9" customHeight="1" x14ac:dyDescent="0.25">
      <c r="A184" s="424" t="s">
        <v>362</v>
      </c>
      <c r="B184" s="97" t="s">
        <v>111</v>
      </c>
      <c r="C184" s="97" t="s">
        <v>560</v>
      </c>
      <c r="D184" s="145" t="s">
        <v>259</v>
      </c>
      <c r="E184" s="230" t="s">
        <v>169</v>
      </c>
      <c r="F184" s="228" t="s">
        <v>669</v>
      </c>
      <c r="G184" s="127">
        <v>52.32</v>
      </c>
      <c r="H184" s="97" t="str">
        <f>VLOOKUP($F184,'Leistungswerte UHR Kigas'!$C$6:$F$32,3,FALSE)</f>
        <v>W5</v>
      </c>
      <c r="I184" s="328">
        <f>VLOOKUP(H184,Turnus!$H$9:$I$26,2,FALSE)</f>
        <v>230</v>
      </c>
      <c r="J184" s="127">
        <f t="shared" si="18"/>
        <v>12033.6</v>
      </c>
      <c r="K184" s="128">
        <f>VLOOKUP($F184,'Leistungswerte UHR Kigas'!$C$6:$F$44,4,FALSE)</f>
        <v>0</v>
      </c>
      <c r="L184" s="496" t="str">
        <f t="shared" si="68"/>
        <v/>
      </c>
      <c r="M184" s="129">
        <f t="shared" si="19"/>
        <v>0</v>
      </c>
      <c r="N184" s="547">
        <f t="shared" si="54"/>
        <v>0</v>
      </c>
      <c r="O184" s="130">
        <f t="shared" si="20"/>
        <v>0</v>
      </c>
      <c r="P184" s="131">
        <f t="shared" si="64"/>
        <v>0</v>
      </c>
      <c r="Q184" s="578">
        <f t="shared" si="67"/>
        <v>2</v>
      </c>
      <c r="R184" s="587"/>
      <c r="S184" s="482"/>
      <c r="T184" s="482"/>
      <c r="U184" s="482"/>
      <c r="V184" s="482"/>
      <c r="W184" s="482"/>
      <c r="X184" s="482"/>
      <c r="Y184" s="482"/>
      <c r="Z184" s="482"/>
      <c r="AA184" s="482"/>
      <c r="AB184" s="482"/>
      <c r="AC184" s="482"/>
      <c r="AD184" s="482"/>
      <c r="AE184" s="482"/>
      <c r="AF184" s="482"/>
      <c r="AG184" s="482"/>
      <c r="AH184" s="482"/>
      <c r="AI184" s="482"/>
      <c r="AJ184" s="482"/>
      <c r="AK184" s="482"/>
      <c r="AL184" s="482"/>
      <c r="AM184" s="482"/>
      <c r="AN184" s="482"/>
      <c r="AO184" s="482"/>
      <c r="AP184" s="482"/>
      <c r="AQ184" s="482"/>
      <c r="AR184" s="482"/>
      <c r="AS184" s="482"/>
      <c r="AT184" s="482"/>
      <c r="AU184" s="482"/>
      <c r="AV184" s="482"/>
      <c r="AW184" s="483"/>
      <c r="AX184" s="484">
        <f t="shared" si="69"/>
        <v>0</v>
      </c>
      <c r="AY184" s="501" t="str">
        <f t="shared" si="65"/>
        <v/>
      </c>
      <c r="AZ184" s="488">
        <f t="shared" si="66"/>
        <v>0</v>
      </c>
    </row>
    <row r="185" spans="1:52" s="57" customFormat="1" ht="24.9" customHeight="1" x14ac:dyDescent="0.25">
      <c r="A185" s="424" t="s">
        <v>362</v>
      </c>
      <c r="B185" s="97" t="s">
        <v>111</v>
      </c>
      <c r="C185" s="97" t="s">
        <v>561</v>
      </c>
      <c r="D185" s="145" t="s">
        <v>702</v>
      </c>
      <c r="E185" s="230" t="s">
        <v>169</v>
      </c>
      <c r="F185" s="228" t="s">
        <v>669</v>
      </c>
      <c r="G185" s="127">
        <v>35.729999999999997</v>
      </c>
      <c r="H185" s="97" t="str">
        <f>VLOOKUP($F185,'Leistungswerte UHR Kigas'!$C$6:$F$32,3,FALSE)</f>
        <v>W5</v>
      </c>
      <c r="I185" s="328">
        <f>VLOOKUP(H185,Turnus!$H$9:$I$26,2,FALSE)</f>
        <v>230</v>
      </c>
      <c r="J185" s="127">
        <f t="shared" si="18"/>
        <v>8217.9</v>
      </c>
      <c r="K185" s="128">
        <f>VLOOKUP($F185,'Leistungswerte UHR Kigas'!$C$6:$F$44,4,FALSE)</f>
        <v>0</v>
      </c>
      <c r="L185" s="496" t="str">
        <f t="shared" si="68"/>
        <v/>
      </c>
      <c r="M185" s="129">
        <f t="shared" si="19"/>
        <v>0</v>
      </c>
      <c r="N185" s="547">
        <f t="shared" si="54"/>
        <v>0</v>
      </c>
      <c r="O185" s="130">
        <f t="shared" si="20"/>
        <v>0</v>
      </c>
      <c r="P185" s="131">
        <f t="shared" si="64"/>
        <v>0</v>
      </c>
      <c r="Q185" s="578">
        <f t="shared" si="67"/>
        <v>2</v>
      </c>
      <c r="R185" s="587"/>
      <c r="S185" s="482"/>
      <c r="T185" s="482"/>
      <c r="U185" s="482"/>
      <c r="V185" s="482"/>
      <c r="W185" s="482"/>
      <c r="X185" s="482"/>
      <c r="Y185" s="482"/>
      <c r="Z185" s="482"/>
      <c r="AA185" s="482"/>
      <c r="AB185" s="482"/>
      <c r="AC185" s="482"/>
      <c r="AD185" s="482"/>
      <c r="AE185" s="482"/>
      <c r="AF185" s="482"/>
      <c r="AG185" s="482"/>
      <c r="AH185" s="482"/>
      <c r="AI185" s="482"/>
      <c r="AJ185" s="482"/>
      <c r="AK185" s="482"/>
      <c r="AL185" s="482"/>
      <c r="AM185" s="482"/>
      <c r="AN185" s="482"/>
      <c r="AO185" s="482"/>
      <c r="AP185" s="482"/>
      <c r="AQ185" s="482"/>
      <c r="AR185" s="482"/>
      <c r="AS185" s="482"/>
      <c r="AT185" s="482"/>
      <c r="AU185" s="482"/>
      <c r="AV185" s="482"/>
      <c r="AW185" s="483"/>
      <c r="AX185" s="484">
        <f t="shared" si="69"/>
        <v>0</v>
      </c>
      <c r="AY185" s="501" t="str">
        <f t="shared" si="65"/>
        <v/>
      </c>
      <c r="AZ185" s="488">
        <f t="shared" si="66"/>
        <v>0</v>
      </c>
    </row>
    <row r="186" spans="1:52" s="57" customFormat="1" ht="24.9" customHeight="1" x14ac:dyDescent="0.25">
      <c r="A186" s="424" t="s">
        <v>362</v>
      </c>
      <c r="B186" s="97" t="s">
        <v>111</v>
      </c>
      <c r="C186" s="97" t="s">
        <v>562</v>
      </c>
      <c r="D186" s="145" t="s">
        <v>255</v>
      </c>
      <c r="E186" s="230" t="s">
        <v>169</v>
      </c>
      <c r="F186" s="228" t="s">
        <v>680</v>
      </c>
      <c r="G186" s="127">
        <v>4.58</v>
      </c>
      <c r="H186" s="97" t="str">
        <f>VLOOKUP($F186,'Leistungswerte UHR Kigas'!$C$6:$F$32,3,FALSE)</f>
        <v>W5</v>
      </c>
      <c r="I186" s="328">
        <f>VLOOKUP(H186,Turnus!$H$9:$I$26,2,FALSE)</f>
        <v>230</v>
      </c>
      <c r="J186" s="127">
        <f t="shared" si="18"/>
        <v>1053.4000000000001</v>
      </c>
      <c r="K186" s="128">
        <f>VLOOKUP($F186,'Leistungswerte UHR Kigas'!$C$6:$F$44,4,FALSE)</f>
        <v>0</v>
      </c>
      <c r="L186" s="496" t="str">
        <f t="shared" si="68"/>
        <v/>
      </c>
      <c r="M186" s="129">
        <f t="shared" si="19"/>
        <v>0</v>
      </c>
      <c r="N186" s="547">
        <f t="shared" si="54"/>
        <v>0</v>
      </c>
      <c r="O186" s="130">
        <f t="shared" si="20"/>
        <v>0</v>
      </c>
      <c r="P186" s="131">
        <f t="shared" si="64"/>
        <v>0</v>
      </c>
      <c r="Q186" s="578">
        <f t="shared" si="67"/>
        <v>2</v>
      </c>
      <c r="R186" s="587"/>
      <c r="S186" s="482"/>
      <c r="T186" s="482"/>
      <c r="U186" s="482"/>
      <c r="V186" s="482"/>
      <c r="W186" s="482"/>
      <c r="X186" s="482"/>
      <c r="Y186" s="482"/>
      <c r="Z186" s="482"/>
      <c r="AA186" s="482"/>
      <c r="AB186" s="482"/>
      <c r="AC186" s="482"/>
      <c r="AD186" s="482"/>
      <c r="AE186" s="482"/>
      <c r="AF186" s="482"/>
      <c r="AG186" s="482"/>
      <c r="AH186" s="482"/>
      <c r="AI186" s="482"/>
      <c r="AJ186" s="482"/>
      <c r="AK186" s="482"/>
      <c r="AL186" s="482"/>
      <c r="AM186" s="482"/>
      <c r="AN186" s="482"/>
      <c r="AO186" s="482"/>
      <c r="AP186" s="482"/>
      <c r="AQ186" s="482"/>
      <c r="AR186" s="482"/>
      <c r="AS186" s="482"/>
      <c r="AT186" s="482"/>
      <c r="AU186" s="482"/>
      <c r="AV186" s="482"/>
      <c r="AW186" s="483"/>
      <c r="AX186" s="484">
        <f t="shared" si="69"/>
        <v>0</v>
      </c>
      <c r="AY186" s="501" t="str">
        <f t="shared" si="65"/>
        <v/>
      </c>
      <c r="AZ186" s="488">
        <f t="shared" si="66"/>
        <v>0</v>
      </c>
    </row>
    <row r="187" spans="1:52" s="57" customFormat="1" ht="24.9" customHeight="1" x14ac:dyDescent="0.25">
      <c r="A187" s="424" t="s">
        <v>362</v>
      </c>
      <c r="B187" s="97" t="s">
        <v>111</v>
      </c>
      <c r="C187" s="97" t="s">
        <v>563</v>
      </c>
      <c r="D187" s="145" t="s">
        <v>564</v>
      </c>
      <c r="E187" s="230" t="s">
        <v>169</v>
      </c>
      <c r="F187" s="228" t="s">
        <v>669</v>
      </c>
      <c r="G187" s="127">
        <v>10.19</v>
      </c>
      <c r="H187" s="97" t="str">
        <f>VLOOKUP($F187,'Leistungswerte UHR Kigas'!$C$6:$F$32,3,FALSE)</f>
        <v>W5</v>
      </c>
      <c r="I187" s="328">
        <f>VLOOKUP(H187,Turnus!$H$9:$I$26,2,FALSE)</f>
        <v>230</v>
      </c>
      <c r="J187" s="127">
        <f t="shared" si="18"/>
        <v>2343.6999999999998</v>
      </c>
      <c r="K187" s="128">
        <f>VLOOKUP($F187,'Leistungswerte UHR Kigas'!$C$6:$F$44,4,FALSE)</f>
        <v>0</v>
      </c>
      <c r="L187" s="496" t="str">
        <f t="shared" si="68"/>
        <v/>
      </c>
      <c r="M187" s="129">
        <f t="shared" si="19"/>
        <v>0</v>
      </c>
      <c r="N187" s="547">
        <f t="shared" si="54"/>
        <v>0</v>
      </c>
      <c r="O187" s="130">
        <f t="shared" si="20"/>
        <v>0</v>
      </c>
      <c r="P187" s="131">
        <f t="shared" si="64"/>
        <v>0</v>
      </c>
      <c r="Q187" s="578">
        <f t="shared" si="67"/>
        <v>2</v>
      </c>
      <c r="R187" s="587"/>
      <c r="S187" s="482"/>
      <c r="T187" s="482"/>
      <c r="U187" s="482"/>
      <c r="V187" s="482"/>
      <c r="W187" s="482"/>
      <c r="X187" s="482"/>
      <c r="Y187" s="482"/>
      <c r="Z187" s="482"/>
      <c r="AA187" s="482"/>
      <c r="AB187" s="482"/>
      <c r="AC187" s="482"/>
      <c r="AD187" s="482"/>
      <c r="AE187" s="482"/>
      <c r="AF187" s="482"/>
      <c r="AG187" s="482"/>
      <c r="AH187" s="482"/>
      <c r="AI187" s="482"/>
      <c r="AJ187" s="482"/>
      <c r="AK187" s="482"/>
      <c r="AL187" s="482"/>
      <c r="AM187" s="482"/>
      <c r="AN187" s="482"/>
      <c r="AO187" s="482"/>
      <c r="AP187" s="482"/>
      <c r="AQ187" s="482"/>
      <c r="AR187" s="482"/>
      <c r="AS187" s="482"/>
      <c r="AT187" s="482"/>
      <c r="AU187" s="482"/>
      <c r="AV187" s="482"/>
      <c r="AW187" s="483"/>
      <c r="AX187" s="484">
        <f t="shared" si="69"/>
        <v>0</v>
      </c>
      <c r="AY187" s="501" t="str">
        <f t="shared" si="65"/>
        <v/>
      </c>
      <c r="AZ187" s="488">
        <f t="shared" si="66"/>
        <v>0</v>
      </c>
    </row>
    <row r="188" spans="1:52" s="57" customFormat="1" ht="24.9" customHeight="1" x14ac:dyDescent="0.25">
      <c r="A188" s="424" t="s">
        <v>362</v>
      </c>
      <c r="B188" s="97" t="s">
        <v>111</v>
      </c>
      <c r="C188" s="97" t="s">
        <v>565</v>
      </c>
      <c r="D188" s="145" t="s">
        <v>259</v>
      </c>
      <c r="E188" s="230" t="s">
        <v>169</v>
      </c>
      <c r="F188" s="228" t="s">
        <v>669</v>
      </c>
      <c r="G188" s="127">
        <v>52.32</v>
      </c>
      <c r="H188" s="97" t="str">
        <f>VLOOKUP($F188,'Leistungswerte UHR Kigas'!$C$6:$F$32,3,FALSE)</f>
        <v>W5</v>
      </c>
      <c r="I188" s="328">
        <f>VLOOKUP(H188,Turnus!$H$9:$I$26,2,FALSE)</f>
        <v>230</v>
      </c>
      <c r="J188" s="127">
        <f t="shared" si="18"/>
        <v>12033.6</v>
      </c>
      <c r="K188" s="128">
        <f>VLOOKUP($F188,'Leistungswerte UHR Kigas'!$C$6:$F$44,4,FALSE)</f>
        <v>0</v>
      </c>
      <c r="L188" s="496" t="str">
        <f t="shared" si="68"/>
        <v/>
      </c>
      <c r="M188" s="129">
        <f t="shared" si="19"/>
        <v>0</v>
      </c>
      <c r="N188" s="547">
        <f t="shared" si="54"/>
        <v>0</v>
      </c>
      <c r="O188" s="130">
        <f t="shared" si="20"/>
        <v>0</v>
      </c>
      <c r="P188" s="131">
        <f t="shared" si="64"/>
        <v>0</v>
      </c>
      <c r="Q188" s="578">
        <f t="shared" si="67"/>
        <v>2</v>
      </c>
      <c r="R188" s="587"/>
      <c r="S188" s="482"/>
      <c r="T188" s="482"/>
      <c r="U188" s="482"/>
      <c r="V188" s="482"/>
      <c r="W188" s="482"/>
      <c r="X188" s="482"/>
      <c r="Y188" s="482"/>
      <c r="Z188" s="482"/>
      <c r="AA188" s="482"/>
      <c r="AB188" s="482"/>
      <c r="AC188" s="482"/>
      <c r="AD188" s="482"/>
      <c r="AE188" s="482"/>
      <c r="AF188" s="482"/>
      <c r="AG188" s="482"/>
      <c r="AH188" s="482"/>
      <c r="AI188" s="482"/>
      <c r="AJ188" s="482"/>
      <c r="AK188" s="482"/>
      <c r="AL188" s="482"/>
      <c r="AM188" s="482"/>
      <c r="AN188" s="482"/>
      <c r="AO188" s="482"/>
      <c r="AP188" s="482"/>
      <c r="AQ188" s="482"/>
      <c r="AR188" s="482"/>
      <c r="AS188" s="482"/>
      <c r="AT188" s="482"/>
      <c r="AU188" s="482"/>
      <c r="AV188" s="482"/>
      <c r="AW188" s="483"/>
      <c r="AX188" s="484">
        <f t="shared" si="69"/>
        <v>0</v>
      </c>
      <c r="AY188" s="501" t="str">
        <f t="shared" si="65"/>
        <v/>
      </c>
      <c r="AZ188" s="488">
        <f t="shared" si="66"/>
        <v>0</v>
      </c>
    </row>
    <row r="189" spans="1:52" s="57" customFormat="1" ht="24.9" customHeight="1" x14ac:dyDescent="0.25">
      <c r="A189" s="424" t="s">
        <v>362</v>
      </c>
      <c r="B189" s="97" t="s">
        <v>111</v>
      </c>
      <c r="C189" s="97" t="s">
        <v>566</v>
      </c>
      <c r="D189" s="145" t="s">
        <v>702</v>
      </c>
      <c r="E189" s="230" t="s">
        <v>169</v>
      </c>
      <c r="F189" s="228" t="s">
        <v>669</v>
      </c>
      <c r="G189" s="127">
        <v>35.729999999999997</v>
      </c>
      <c r="H189" s="97" t="str">
        <f>VLOOKUP($F189,'Leistungswerte UHR Kigas'!$C$6:$F$32,3,FALSE)</f>
        <v>W5</v>
      </c>
      <c r="I189" s="328">
        <f>VLOOKUP(H189,Turnus!$H$9:$I$26,2,FALSE)</f>
        <v>230</v>
      </c>
      <c r="J189" s="127">
        <f t="shared" si="18"/>
        <v>8217.9</v>
      </c>
      <c r="K189" s="128">
        <f>VLOOKUP($F189,'Leistungswerte UHR Kigas'!$C$6:$F$44,4,FALSE)</f>
        <v>0</v>
      </c>
      <c r="L189" s="496" t="str">
        <f t="shared" si="68"/>
        <v/>
      </c>
      <c r="M189" s="129">
        <f t="shared" si="19"/>
        <v>0</v>
      </c>
      <c r="N189" s="547">
        <f t="shared" si="54"/>
        <v>0</v>
      </c>
      <c r="O189" s="130">
        <f t="shared" si="20"/>
        <v>0</v>
      </c>
      <c r="P189" s="131">
        <f t="shared" si="64"/>
        <v>0</v>
      </c>
      <c r="Q189" s="578">
        <f t="shared" si="67"/>
        <v>2</v>
      </c>
      <c r="R189" s="587"/>
      <c r="S189" s="482"/>
      <c r="T189" s="482"/>
      <c r="U189" s="482"/>
      <c r="V189" s="482"/>
      <c r="W189" s="482"/>
      <c r="X189" s="482"/>
      <c r="Y189" s="482"/>
      <c r="Z189" s="482"/>
      <c r="AA189" s="482"/>
      <c r="AB189" s="482"/>
      <c r="AC189" s="482"/>
      <c r="AD189" s="482"/>
      <c r="AE189" s="482"/>
      <c r="AF189" s="482"/>
      <c r="AG189" s="482"/>
      <c r="AH189" s="482"/>
      <c r="AI189" s="482"/>
      <c r="AJ189" s="482"/>
      <c r="AK189" s="482"/>
      <c r="AL189" s="482"/>
      <c r="AM189" s="482"/>
      <c r="AN189" s="482"/>
      <c r="AO189" s="482"/>
      <c r="AP189" s="482"/>
      <c r="AQ189" s="482"/>
      <c r="AR189" s="482"/>
      <c r="AS189" s="482"/>
      <c r="AT189" s="482"/>
      <c r="AU189" s="482"/>
      <c r="AV189" s="482"/>
      <c r="AW189" s="483"/>
      <c r="AX189" s="484">
        <f t="shared" si="69"/>
        <v>0</v>
      </c>
      <c r="AY189" s="501" t="str">
        <f t="shared" si="65"/>
        <v/>
      </c>
      <c r="AZ189" s="488">
        <f t="shared" si="66"/>
        <v>0</v>
      </c>
    </row>
    <row r="190" spans="1:52" s="57" customFormat="1" ht="24.9" customHeight="1" x14ac:dyDescent="0.25">
      <c r="A190" s="424" t="s">
        <v>362</v>
      </c>
      <c r="B190" s="97" t="s">
        <v>111</v>
      </c>
      <c r="C190" s="97" t="s">
        <v>571</v>
      </c>
      <c r="D190" s="145" t="s">
        <v>102</v>
      </c>
      <c r="E190" s="230" t="s">
        <v>253</v>
      </c>
      <c r="F190" s="228" t="s">
        <v>676</v>
      </c>
      <c r="G190" s="127">
        <v>56.27</v>
      </c>
      <c r="H190" s="97" t="str">
        <f>VLOOKUP($F190,'Leistungswerte UHR Kigas'!$C$6:$F$32,3,FALSE)</f>
        <v>W5</v>
      </c>
      <c r="I190" s="328">
        <f>VLOOKUP(H190,Turnus!$H$9:$I$26,2,FALSE)</f>
        <v>230</v>
      </c>
      <c r="J190" s="127">
        <f t="shared" ref="J190:J251" si="79">+G190*I190</f>
        <v>12942.1</v>
      </c>
      <c r="K190" s="128">
        <f>VLOOKUP($F190,'Leistungswerte UHR Kigas'!$C$6:$F$44,4,FALSE)</f>
        <v>0</v>
      </c>
      <c r="L190" s="496" t="str">
        <f t="shared" si="68"/>
        <v/>
      </c>
      <c r="M190" s="129">
        <f t="shared" ref="M190:M251" si="80">IF(ISERROR(J190/K190),0,J190/K190)</f>
        <v>0</v>
      </c>
      <c r="N190" s="547">
        <f t="shared" si="54"/>
        <v>0</v>
      </c>
      <c r="O190" s="130">
        <f t="shared" ref="O190:O251" si="81">IF(ISERROR(G190/K190*N190),0,G190/K190*N190)</f>
        <v>0</v>
      </c>
      <c r="P190" s="131">
        <f t="shared" si="64"/>
        <v>0</v>
      </c>
      <c r="Q190" s="578">
        <f t="shared" si="67"/>
        <v>2</v>
      </c>
      <c r="R190" s="587"/>
      <c r="S190" s="482"/>
      <c r="T190" s="482"/>
      <c r="U190" s="482"/>
      <c r="V190" s="482"/>
      <c r="W190" s="482"/>
      <c r="X190" s="482"/>
      <c r="Y190" s="482"/>
      <c r="Z190" s="482"/>
      <c r="AA190" s="482"/>
      <c r="AB190" s="482"/>
      <c r="AC190" s="482"/>
      <c r="AD190" s="482"/>
      <c r="AE190" s="482"/>
      <c r="AF190" s="482"/>
      <c r="AG190" s="482"/>
      <c r="AH190" s="482"/>
      <c r="AI190" s="482"/>
      <c r="AJ190" s="482"/>
      <c r="AK190" s="482"/>
      <c r="AL190" s="482"/>
      <c r="AM190" s="482"/>
      <c r="AN190" s="482"/>
      <c r="AO190" s="482"/>
      <c r="AP190" s="482"/>
      <c r="AQ190" s="482"/>
      <c r="AR190" s="482"/>
      <c r="AS190" s="482"/>
      <c r="AT190" s="482"/>
      <c r="AU190" s="482"/>
      <c r="AV190" s="482"/>
      <c r="AW190" s="483"/>
      <c r="AX190" s="484">
        <f t="shared" si="69"/>
        <v>0</v>
      </c>
      <c r="AY190" s="501" t="str">
        <f t="shared" si="65"/>
        <v/>
      </c>
      <c r="AZ190" s="488">
        <f t="shared" si="66"/>
        <v>0</v>
      </c>
    </row>
    <row r="191" spans="1:52" s="57" customFormat="1" ht="24.9" customHeight="1" x14ac:dyDescent="0.25">
      <c r="A191" s="425" t="s">
        <v>363</v>
      </c>
      <c r="B191" s="97" t="s">
        <v>273</v>
      </c>
      <c r="C191" s="97" t="s">
        <v>575</v>
      </c>
      <c r="D191" s="145" t="s">
        <v>363</v>
      </c>
      <c r="E191" s="230" t="s">
        <v>867</v>
      </c>
      <c r="F191" s="228" t="s">
        <v>692</v>
      </c>
      <c r="G191" s="127">
        <v>968</v>
      </c>
      <c r="H191" s="566" t="str">
        <f>VLOOKUP($F191,'Leistungswerte UHR Schulen'!$C$6:$F$38,3,FALSE)</f>
        <v>W6</v>
      </c>
      <c r="I191" s="567">
        <f>VLOOKUP(H191,Turnus!$D$9:$E$26,2,FALSE)</f>
        <v>226.35714285714283</v>
      </c>
      <c r="J191" s="127">
        <f t="shared" si="79"/>
        <v>219113.71428571426</v>
      </c>
      <c r="K191" s="128">
        <f>VLOOKUP($F191,'Leistungswerte UHR Schulen'!$C$6:$F$38,4,FALSE)</f>
        <v>0</v>
      </c>
      <c r="L191" s="496" t="str">
        <f t="shared" si="68"/>
        <v/>
      </c>
      <c r="M191" s="129">
        <f t="shared" si="80"/>
        <v>0</v>
      </c>
      <c r="N191" s="547">
        <f t="shared" si="54"/>
        <v>0</v>
      </c>
      <c r="O191" s="130">
        <f t="shared" si="81"/>
        <v>0</v>
      </c>
      <c r="P191" s="131">
        <f t="shared" si="64"/>
        <v>0</v>
      </c>
      <c r="Q191" s="578">
        <f t="shared" si="67"/>
        <v>1</v>
      </c>
      <c r="R191" s="587"/>
      <c r="S191" s="482"/>
      <c r="T191" s="482"/>
      <c r="U191" s="482"/>
      <c r="V191" s="482"/>
      <c r="W191" s="482"/>
      <c r="X191" s="482"/>
      <c r="Y191" s="482"/>
      <c r="Z191" s="482"/>
      <c r="AA191" s="482"/>
      <c r="AB191" s="482"/>
      <c r="AC191" s="482"/>
      <c r="AD191" s="482"/>
      <c r="AE191" s="482"/>
      <c r="AF191" s="482"/>
      <c r="AG191" s="482"/>
      <c r="AH191" s="482"/>
      <c r="AI191" s="482"/>
      <c r="AJ191" s="482"/>
      <c r="AK191" s="482"/>
      <c r="AL191" s="482"/>
      <c r="AM191" s="482"/>
      <c r="AN191" s="482"/>
      <c r="AO191" s="482"/>
      <c r="AP191" s="482"/>
      <c r="AQ191" s="482"/>
      <c r="AR191" s="482"/>
      <c r="AS191" s="482"/>
      <c r="AT191" s="482"/>
      <c r="AU191" s="482"/>
      <c r="AV191" s="482"/>
      <c r="AW191" s="483"/>
      <c r="AX191" s="484">
        <f t="shared" si="69"/>
        <v>0</v>
      </c>
      <c r="AY191" s="501" t="str">
        <f t="shared" si="65"/>
        <v/>
      </c>
      <c r="AZ191" s="488">
        <f t="shared" si="66"/>
        <v>0</v>
      </c>
    </row>
    <row r="192" spans="1:52" s="57" customFormat="1" ht="24.9" customHeight="1" x14ac:dyDescent="0.25">
      <c r="A192" s="425" t="s">
        <v>363</v>
      </c>
      <c r="B192" s="97" t="s">
        <v>273</v>
      </c>
      <c r="C192" s="97" t="s">
        <v>596</v>
      </c>
      <c r="D192" s="145" t="s">
        <v>597</v>
      </c>
      <c r="E192" s="230" t="s">
        <v>619</v>
      </c>
      <c r="F192" s="228" t="s">
        <v>902</v>
      </c>
      <c r="G192" s="127">
        <v>138.97</v>
      </c>
      <c r="H192" s="566" t="str">
        <f>VLOOKUP($F192,'Leistungswerte UHR Schulen'!$C$6:$F$38,3,FALSE)</f>
        <v>W6</v>
      </c>
      <c r="I192" s="567">
        <f>VLOOKUP(H192,Turnus!$D$9:$E$26,2,FALSE)</f>
        <v>226.35714285714283</v>
      </c>
      <c r="J192" s="127">
        <f>+G192*I192</f>
        <v>31456.85214285714</v>
      </c>
      <c r="K192" s="128">
        <f>VLOOKUP($F192,'Leistungswerte UHR Schulen'!$C$6:$F$38,4,FALSE)</f>
        <v>0</v>
      </c>
      <c r="L192" s="496" t="str">
        <f t="shared" si="68"/>
        <v/>
      </c>
      <c r="M192" s="129">
        <f>IF(ISERROR(J192/K192),0,J192/K192)</f>
        <v>0</v>
      </c>
      <c r="N192" s="547">
        <f t="shared" si="54"/>
        <v>0</v>
      </c>
      <c r="O192" s="130">
        <f>IF(ISERROR(G192/K192*N192),0,G192/K192*N192)</f>
        <v>0</v>
      </c>
      <c r="P192" s="131">
        <f t="shared" si="64"/>
        <v>0</v>
      </c>
      <c r="Q192" s="578">
        <f t="shared" si="67"/>
        <v>1</v>
      </c>
      <c r="R192" s="587"/>
      <c r="S192" s="482"/>
      <c r="T192" s="482"/>
      <c r="U192" s="482"/>
      <c r="V192" s="482"/>
      <c r="W192" s="482"/>
      <c r="X192" s="482"/>
      <c r="Y192" s="482"/>
      <c r="Z192" s="482"/>
      <c r="AA192" s="482"/>
      <c r="AB192" s="482"/>
      <c r="AC192" s="482"/>
      <c r="AD192" s="482"/>
      <c r="AE192" s="482"/>
      <c r="AF192" s="482"/>
      <c r="AG192" s="482"/>
      <c r="AH192" s="482"/>
      <c r="AI192" s="482"/>
      <c r="AJ192" s="482"/>
      <c r="AK192" s="482"/>
      <c r="AL192" s="482"/>
      <c r="AM192" s="482"/>
      <c r="AN192" s="482"/>
      <c r="AO192" s="482"/>
      <c r="AP192" s="482"/>
      <c r="AQ192" s="482"/>
      <c r="AR192" s="482"/>
      <c r="AS192" s="482"/>
      <c r="AT192" s="482"/>
      <c r="AU192" s="482"/>
      <c r="AV192" s="482"/>
      <c r="AW192" s="483"/>
      <c r="AX192" s="484">
        <f t="shared" si="69"/>
        <v>0</v>
      </c>
      <c r="AY192" s="501" t="str">
        <f t="shared" si="65"/>
        <v/>
      </c>
      <c r="AZ192" s="488">
        <f t="shared" si="66"/>
        <v>0</v>
      </c>
    </row>
    <row r="193" spans="1:52" s="57" customFormat="1" ht="24.9" customHeight="1" x14ac:dyDescent="0.25">
      <c r="A193" s="425" t="s">
        <v>363</v>
      </c>
      <c r="B193" s="97" t="s">
        <v>273</v>
      </c>
      <c r="C193" s="97" t="s">
        <v>602</v>
      </c>
      <c r="D193" s="145" t="s">
        <v>266</v>
      </c>
      <c r="E193" s="230" t="s">
        <v>619</v>
      </c>
      <c r="F193" s="228" t="s">
        <v>896</v>
      </c>
      <c r="G193" s="127">
        <v>29.12</v>
      </c>
      <c r="H193" s="566" t="str">
        <f>VLOOKUP($F193,'Leistungswerte UHR Schulen'!$C$6:$F$38,3,FALSE)</f>
        <v>W6</v>
      </c>
      <c r="I193" s="567">
        <f>VLOOKUP(H193,Turnus!$D$9:$E$26,2,FALSE)</f>
        <v>226.35714285714283</v>
      </c>
      <c r="J193" s="127">
        <f>+G193*I193</f>
        <v>6591.5199999999995</v>
      </c>
      <c r="K193" s="128">
        <f>VLOOKUP($F193,'Leistungswerte UHR Schulen'!$C$6:$F$38,4,FALSE)</f>
        <v>0</v>
      </c>
      <c r="L193" s="496" t="str">
        <f t="shared" si="68"/>
        <v/>
      </c>
      <c r="M193" s="129">
        <f>IF(ISERROR(J193/K193),0,J193/K193)</f>
        <v>0</v>
      </c>
      <c r="N193" s="547">
        <f t="shared" si="54"/>
        <v>0</v>
      </c>
      <c r="O193" s="130">
        <f>IF(ISERROR(G193/K193*N193),0,G193/K193*N193)</f>
        <v>0</v>
      </c>
      <c r="P193" s="131">
        <f t="shared" si="64"/>
        <v>0</v>
      </c>
      <c r="Q193" s="578">
        <f t="shared" si="67"/>
        <v>1</v>
      </c>
      <c r="R193" s="587"/>
      <c r="S193" s="482"/>
      <c r="T193" s="482"/>
      <c r="U193" s="482"/>
      <c r="V193" s="482"/>
      <c r="W193" s="482"/>
      <c r="X193" s="482"/>
      <c r="Y193" s="482"/>
      <c r="Z193" s="482"/>
      <c r="AA193" s="482"/>
      <c r="AB193" s="482"/>
      <c r="AC193" s="482"/>
      <c r="AD193" s="482"/>
      <c r="AE193" s="482"/>
      <c r="AF193" s="482"/>
      <c r="AG193" s="482"/>
      <c r="AH193" s="482"/>
      <c r="AI193" s="482"/>
      <c r="AJ193" s="482"/>
      <c r="AK193" s="482"/>
      <c r="AL193" s="482"/>
      <c r="AM193" s="482"/>
      <c r="AN193" s="482"/>
      <c r="AO193" s="482"/>
      <c r="AP193" s="482"/>
      <c r="AQ193" s="482"/>
      <c r="AR193" s="482"/>
      <c r="AS193" s="482"/>
      <c r="AT193" s="482"/>
      <c r="AU193" s="482"/>
      <c r="AV193" s="482"/>
      <c r="AW193" s="483"/>
      <c r="AX193" s="484">
        <f t="shared" si="69"/>
        <v>0</v>
      </c>
      <c r="AY193" s="501" t="str">
        <f t="shared" si="65"/>
        <v/>
      </c>
      <c r="AZ193" s="488">
        <f t="shared" si="66"/>
        <v>0</v>
      </c>
    </row>
    <row r="194" spans="1:52" s="57" customFormat="1" ht="24.9" customHeight="1" x14ac:dyDescent="0.25">
      <c r="A194" s="425" t="s">
        <v>363</v>
      </c>
      <c r="B194" s="97" t="s">
        <v>273</v>
      </c>
      <c r="C194" s="97" t="s">
        <v>603</v>
      </c>
      <c r="D194" s="414" t="s">
        <v>910</v>
      </c>
      <c r="E194" s="415" t="s">
        <v>619</v>
      </c>
      <c r="F194" s="228" t="s">
        <v>708</v>
      </c>
      <c r="G194" s="127">
        <v>7.92</v>
      </c>
      <c r="H194" s="97" t="str">
        <f>VLOOKUP($F194,'Leistungswerte UHR Schulen'!$C$6:$F$38,3,FALSE)</f>
        <v>kR</v>
      </c>
      <c r="I194" s="328">
        <f>VLOOKUP(H194,Turnus!$D$9:$E$26,2,FALSE)</f>
        <v>0</v>
      </c>
      <c r="J194" s="127">
        <f>+G194*I194</f>
        <v>0</v>
      </c>
      <c r="K194" s="128">
        <f>VLOOKUP($F194,'Leistungswerte UHR Schulen'!$C$6:$F$38,4,FALSE)</f>
        <v>0</v>
      </c>
      <c r="L194" s="496" t="str">
        <f t="shared" si="68"/>
        <v/>
      </c>
      <c r="M194" s="129">
        <f>IF(ISERROR(J194/K194),0,J194/K194)</f>
        <v>0</v>
      </c>
      <c r="N194" s="547">
        <f t="shared" ref="N194:N251" si="82">N$3</f>
        <v>0</v>
      </c>
      <c r="O194" s="130">
        <f>IF(ISERROR(G194/K194*N194),0,G194/K194*N194)</f>
        <v>0</v>
      </c>
      <c r="P194" s="131">
        <f t="shared" si="64"/>
        <v>0</v>
      </c>
      <c r="Q194" s="578">
        <f t="shared" si="67"/>
        <v>1</v>
      </c>
      <c r="R194" s="587"/>
      <c r="S194" s="482"/>
      <c r="T194" s="482"/>
      <c r="U194" s="482"/>
      <c r="V194" s="482"/>
      <c r="W194" s="482"/>
      <c r="X194" s="482"/>
      <c r="Y194" s="482"/>
      <c r="Z194" s="482"/>
      <c r="AA194" s="482"/>
      <c r="AB194" s="482"/>
      <c r="AC194" s="482"/>
      <c r="AD194" s="482"/>
      <c r="AE194" s="482"/>
      <c r="AF194" s="482"/>
      <c r="AG194" s="482"/>
      <c r="AH194" s="482"/>
      <c r="AI194" s="482"/>
      <c r="AJ194" s="482"/>
      <c r="AK194" s="482"/>
      <c r="AL194" s="482"/>
      <c r="AM194" s="482"/>
      <c r="AN194" s="482"/>
      <c r="AO194" s="482"/>
      <c r="AP194" s="482"/>
      <c r="AQ194" s="482"/>
      <c r="AR194" s="482"/>
      <c r="AS194" s="482"/>
      <c r="AT194" s="482"/>
      <c r="AU194" s="482"/>
      <c r="AV194" s="482"/>
      <c r="AW194" s="483"/>
      <c r="AX194" s="484">
        <f t="shared" si="69"/>
        <v>0</v>
      </c>
      <c r="AY194" s="501" t="str">
        <f t="shared" si="65"/>
        <v/>
      </c>
      <c r="AZ194" s="488">
        <f t="shared" si="66"/>
        <v>0</v>
      </c>
    </row>
    <row r="195" spans="1:52" s="57" customFormat="1" ht="24.9" customHeight="1" x14ac:dyDescent="0.25">
      <c r="A195" s="425" t="s">
        <v>363</v>
      </c>
      <c r="B195" s="97" t="s">
        <v>273</v>
      </c>
      <c r="C195" s="97" t="s">
        <v>576</v>
      </c>
      <c r="D195" s="145" t="s">
        <v>577</v>
      </c>
      <c r="E195" s="230" t="s">
        <v>169</v>
      </c>
      <c r="F195" s="228" t="s">
        <v>691</v>
      </c>
      <c r="G195" s="127">
        <v>81.599999999999994</v>
      </c>
      <c r="H195" s="97" t="str">
        <f>VLOOKUP($F195,'Leistungswerte UHR Schulen'!$C$6:$F$38,3,FALSE)</f>
        <v>J4</v>
      </c>
      <c r="I195" s="328">
        <f>VLOOKUP(H195,Turnus!$D$9:$E$26,2,FALSE)</f>
        <v>4</v>
      </c>
      <c r="J195" s="127">
        <f t="shared" si="79"/>
        <v>326.39999999999998</v>
      </c>
      <c r="K195" s="128">
        <f>VLOOKUP($F195,'Leistungswerte UHR Schulen'!$C$6:$F$38,4,FALSE)</f>
        <v>0</v>
      </c>
      <c r="L195" s="496" t="str">
        <f t="shared" si="68"/>
        <v/>
      </c>
      <c r="M195" s="129">
        <f t="shared" si="80"/>
        <v>0</v>
      </c>
      <c r="N195" s="547">
        <f t="shared" si="54"/>
        <v>0</v>
      </c>
      <c r="O195" s="130">
        <f t="shared" si="81"/>
        <v>0</v>
      </c>
      <c r="P195" s="131">
        <f t="shared" si="64"/>
        <v>0</v>
      </c>
      <c r="Q195" s="578">
        <f t="shared" si="67"/>
        <v>1</v>
      </c>
      <c r="R195" s="587"/>
      <c r="S195" s="482"/>
      <c r="T195" s="482"/>
      <c r="U195" s="482"/>
      <c r="V195" s="482"/>
      <c r="W195" s="482"/>
      <c r="X195" s="482"/>
      <c r="Y195" s="482"/>
      <c r="Z195" s="482"/>
      <c r="AA195" s="482"/>
      <c r="AB195" s="482"/>
      <c r="AC195" s="482"/>
      <c r="AD195" s="482"/>
      <c r="AE195" s="482"/>
      <c r="AF195" s="482"/>
      <c r="AG195" s="482"/>
      <c r="AH195" s="482"/>
      <c r="AI195" s="482"/>
      <c r="AJ195" s="482"/>
      <c r="AK195" s="482"/>
      <c r="AL195" s="482"/>
      <c r="AM195" s="482"/>
      <c r="AN195" s="482"/>
      <c r="AO195" s="482"/>
      <c r="AP195" s="482"/>
      <c r="AQ195" s="482"/>
      <c r="AR195" s="482"/>
      <c r="AS195" s="482"/>
      <c r="AT195" s="482"/>
      <c r="AU195" s="482"/>
      <c r="AV195" s="482"/>
      <c r="AW195" s="483"/>
      <c r="AX195" s="484">
        <f t="shared" si="69"/>
        <v>0</v>
      </c>
      <c r="AY195" s="501" t="str">
        <f t="shared" si="65"/>
        <v/>
      </c>
      <c r="AZ195" s="488">
        <f t="shared" si="66"/>
        <v>0</v>
      </c>
    </row>
    <row r="196" spans="1:52" s="57" customFormat="1" ht="24.9" customHeight="1" x14ac:dyDescent="0.25">
      <c r="A196" s="425" t="s">
        <v>363</v>
      </c>
      <c r="B196" s="97" t="s">
        <v>273</v>
      </c>
      <c r="C196" s="97" t="s">
        <v>578</v>
      </c>
      <c r="D196" s="145" t="s">
        <v>577</v>
      </c>
      <c r="E196" s="230" t="s">
        <v>169</v>
      </c>
      <c r="F196" s="228" t="s">
        <v>691</v>
      </c>
      <c r="G196" s="127">
        <v>101.8</v>
      </c>
      <c r="H196" s="97" t="str">
        <f>VLOOKUP($F196,'Leistungswerte UHR Schulen'!$C$6:$F$38,3,FALSE)</f>
        <v>J4</v>
      </c>
      <c r="I196" s="328">
        <f>VLOOKUP(H196,Turnus!$D$9:$E$26,2,FALSE)</f>
        <v>4</v>
      </c>
      <c r="J196" s="127">
        <f t="shared" si="79"/>
        <v>407.2</v>
      </c>
      <c r="K196" s="128">
        <f>VLOOKUP($F196,'Leistungswerte UHR Schulen'!$C$6:$F$38,4,FALSE)</f>
        <v>0</v>
      </c>
      <c r="L196" s="496" t="str">
        <f t="shared" si="68"/>
        <v/>
      </c>
      <c r="M196" s="129">
        <f t="shared" si="80"/>
        <v>0</v>
      </c>
      <c r="N196" s="547">
        <f t="shared" si="54"/>
        <v>0</v>
      </c>
      <c r="O196" s="130">
        <f t="shared" si="81"/>
        <v>0</v>
      </c>
      <c r="P196" s="131">
        <f t="shared" si="64"/>
        <v>0</v>
      </c>
      <c r="Q196" s="578">
        <f t="shared" si="67"/>
        <v>1</v>
      </c>
      <c r="R196" s="587"/>
      <c r="S196" s="482"/>
      <c r="T196" s="482"/>
      <c r="U196" s="482"/>
      <c r="V196" s="482"/>
      <c r="W196" s="482"/>
      <c r="X196" s="482"/>
      <c r="Y196" s="482"/>
      <c r="Z196" s="482"/>
      <c r="AA196" s="482"/>
      <c r="AB196" s="482"/>
      <c r="AC196" s="482"/>
      <c r="AD196" s="482"/>
      <c r="AE196" s="482"/>
      <c r="AF196" s="482"/>
      <c r="AG196" s="482"/>
      <c r="AH196" s="482"/>
      <c r="AI196" s="482"/>
      <c r="AJ196" s="482"/>
      <c r="AK196" s="482"/>
      <c r="AL196" s="482"/>
      <c r="AM196" s="482"/>
      <c r="AN196" s="482"/>
      <c r="AO196" s="482"/>
      <c r="AP196" s="482"/>
      <c r="AQ196" s="482"/>
      <c r="AR196" s="482"/>
      <c r="AS196" s="482"/>
      <c r="AT196" s="482"/>
      <c r="AU196" s="482"/>
      <c r="AV196" s="482"/>
      <c r="AW196" s="483"/>
      <c r="AX196" s="484">
        <f t="shared" si="69"/>
        <v>0</v>
      </c>
      <c r="AY196" s="501" t="str">
        <f t="shared" si="65"/>
        <v/>
      </c>
      <c r="AZ196" s="488">
        <f t="shared" si="66"/>
        <v>0</v>
      </c>
    </row>
    <row r="197" spans="1:52" s="57" customFormat="1" ht="24.9" customHeight="1" x14ac:dyDescent="0.25">
      <c r="A197" s="425" t="s">
        <v>363</v>
      </c>
      <c r="B197" s="97" t="s">
        <v>273</v>
      </c>
      <c r="C197" s="97" t="s">
        <v>872</v>
      </c>
      <c r="D197" s="145" t="s">
        <v>714</v>
      </c>
      <c r="E197" s="230" t="s">
        <v>870</v>
      </c>
      <c r="F197" s="228" t="s">
        <v>708</v>
      </c>
      <c r="G197" s="127">
        <v>5.04</v>
      </c>
      <c r="H197" s="97" t="str">
        <f>VLOOKUP($F197,'Leistungswerte UHR Schulen'!$C$6:$F$38,3,FALSE)</f>
        <v>kR</v>
      </c>
      <c r="I197" s="328">
        <f>VLOOKUP(H197,Turnus!$D$9:$E$26,2,FALSE)</f>
        <v>0</v>
      </c>
      <c r="J197" s="127">
        <f t="shared" si="79"/>
        <v>0</v>
      </c>
      <c r="K197" s="128">
        <f>VLOOKUP($F197,'Leistungswerte UHR Schulen'!$C$6:$F$38,4,FALSE)</f>
        <v>0</v>
      </c>
      <c r="L197" s="496" t="str">
        <f t="shared" ref="L197" si="83">IFERROR(G197/K197,"")</f>
        <v/>
      </c>
      <c r="M197" s="129">
        <f t="shared" si="80"/>
        <v>0</v>
      </c>
      <c r="N197" s="547">
        <f t="shared" si="54"/>
        <v>0</v>
      </c>
      <c r="O197" s="130">
        <f t="shared" si="81"/>
        <v>0</v>
      </c>
      <c r="P197" s="131">
        <f t="shared" si="64"/>
        <v>0</v>
      </c>
      <c r="Q197" s="578">
        <f t="shared" si="67"/>
        <v>1</v>
      </c>
      <c r="R197" s="587"/>
      <c r="S197" s="482"/>
      <c r="T197" s="482"/>
      <c r="U197" s="482"/>
      <c r="V197" s="482"/>
      <c r="W197" s="482"/>
      <c r="X197" s="482"/>
      <c r="Y197" s="482"/>
      <c r="Z197" s="482"/>
      <c r="AA197" s="482"/>
      <c r="AB197" s="482"/>
      <c r="AC197" s="482"/>
      <c r="AD197" s="482"/>
      <c r="AE197" s="482"/>
      <c r="AF197" s="482"/>
      <c r="AG197" s="482"/>
      <c r="AH197" s="482"/>
      <c r="AI197" s="482"/>
      <c r="AJ197" s="482"/>
      <c r="AK197" s="482"/>
      <c r="AL197" s="482"/>
      <c r="AM197" s="482"/>
      <c r="AN197" s="482"/>
      <c r="AO197" s="482"/>
      <c r="AP197" s="482"/>
      <c r="AQ197" s="482"/>
      <c r="AR197" s="482"/>
      <c r="AS197" s="482"/>
      <c r="AT197" s="482"/>
      <c r="AU197" s="482"/>
      <c r="AV197" s="482"/>
      <c r="AW197" s="483"/>
      <c r="AX197" s="484">
        <f t="shared" ref="AX197" si="84">SUM(S197:AW197)</f>
        <v>0</v>
      </c>
      <c r="AY197" s="501" t="str">
        <f t="shared" si="65"/>
        <v/>
      </c>
      <c r="AZ197" s="488">
        <f t="shared" si="66"/>
        <v>0</v>
      </c>
    </row>
    <row r="198" spans="1:52" s="57" customFormat="1" ht="24.9" customHeight="1" x14ac:dyDescent="0.25">
      <c r="A198" s="425" t="s">
        <v>363</v>
      </c>
      <c r="B198" s="97" t="s">
        <v>273</v>
      </c>
      <c r="C198" s="97" t="s">
        <v>725</v>
      </c>
      <c r="D198" s="145" t="s">
        <v>726</v>
      </c>
      <c r="E198" s="230" t="s">
        <v>870</v>
      </c>
      <c r="F198" s="228" t="s">
        <v>708</v>
      </c>
      <c r="G198" s="127">
        <v>5.04</v>
      </c>
      <c r="H198" s="97" t="str">
        <f>VLOOKUP($F198,'Leistungswerte UHR Schulen'!$C$6:$F$38,3,FALSE)</f>
        <v>kR</v>
      </c>
      <c r="I198" s="328">
        <f>VLOOKUP(H198,Turnus!$D$9:$E$26,2,FALSE)</f>
        <v>0</v>
      </c>
      <c r="J198" s="127">
        <f t="shared" ref="J198" si="85">+G198*I198</f>
        <v>0</v>
      </c>
      <c r="K198" s="128">
        <f>VLOOKUP($F198,'Leistungswerte UHR Schulen'!$C$6:$F$38,4,FALSE)</f>
        <v>0</v>
      </c>
      <c r="L198" s="496" t="str">
        <f t="shared" si="68"/>
        <v/>
      </c>
      <c r="M198" s="129">
        <f t="shared" ref="M198" si="86">IF(ISERROR(J198/K198),0,J198/K198)</f>
        <v>0</v>
      </c>
      <c r="N198" s="547">
        <f t="shared" si="54"/>
        <v>0</v>
      </c>
      <c r="O198" s="130">
        <f t="shared" ref="O198" si="87">IF(ISERROR(G198/K198*N198),0,G198/K198*N198)</f>
        <v>0</v>
      </c>
      <c r="P198" s="131">
        <f t="shared" si="64"/>
        <v>0</v>
      </c>
      <c r="Q198" s="578">
        <f t="shared" si="67"/>
        <v>1</v>
      </c>
      <c r="R198" s="587"/>
      <c r="S198" s="482"/>
      <c r="T198" s="482"/>
      <c r="U198" s="482"/>
      <c r="V198" s="482"/>
      <c r="W198" s="482"/>
      <c r="X198" s="482"/>
      <c r="Y198" s="482"/>
      <c r="Z198" s="482"/>
      <c r="AA198" s="482"/>
      <c r="AB198" s="482"/>
      <c r="AC198" s="482"/>
      <c r="AD198" s="482"/>
      <c r="AE198" s="482"/>
      <c r="AF198" s="482"/>
      <c r="AG198" s="482"/>
      <c r="AH198" s="482"/>
      <c r="AI198" s="482"/>
      <c r="AJ198" s="482"/>
      <c r="AK198" s="482"/>
      <c r="AL198" s="482"/>
      <c r="AM198" s="482"/>
      <c r="AN198" s="482"/>
      <c r="AO198" s="482"/>
      <c r="AP198" s="482"/>
      <c r="AQ198" s="482"/>
      <c r="AR198" s="482"/>
      <c r="AS198" s="482"/>
      <c r="AT198" s="482"/>
      <c r="AU198" s="482"/>
      <c r="AV198" s="482"/>
      <c r="AW198" s="483"/>
      <c r="AX198" s="484">
        <f t="shared" si="69"/>
        <v>0</v>
      </c>
      <c r="AY198" s="501" t="str">
        <f t="shared" si="65"/>
        <v/>
      </c>
      <c r="AZ198" s="488">
        <f t="shared" si="66"/>
        <v>0</v>
      </c>
    </row>
    <row r="199" spans="1:52" s="57" customFormat="1" ht="24.9" customHeight="1" x14ac:dyDescent="0.25">
      <c r="A199" s="425" t="s">
        <v>363</v>
      </c>
      <c r="B199" s="97" t="s">
        <v>273</v>
      </c>
      <c r="C199" s="97" t="s">
        <v>579</v>
      </c>
      <c r="D199" s="145" t="s">
        <v>580</v>
      </c>
      <c r="E199" s="230" t="s">
        <v>169</v>
      </c>
      <c r="F199" s="228" t="s">
        <v>668</v>
      </c>
      <c r="G199" s="127">
        <v>20.420000000000002</v>
      </c>
      <c r="H199" s="97" t="str">
        <f>VLOOKUP($F199,'Leistungswerte UHR Schulen'!$C$6:$F$38,3,FALSE)</f>
        <v>W1</v>
      </c>
      <c r="I199" s="328">
        <f>VLOOKUP(H199,Turnus!$D$9:$E$26,2,FALSE)</f>
        <v>38.178571428571388</v>
      </c>
      <c r="J199" s="127">
        <f t="shared" si="79"/>
        <v>779.60642857142784</v>
      </c>
      <c r="K199" s="128">
        <f>VLOOKUP($F199,'Leistungswerte UHR Schulen'!$C$6:$F$38,4,FALSE)</f>
        <v>0</v>
      </c>
      <c r="L199" s="496" t="str">
        <f t="shared" si="68"/>
        <v/>
      </c>
      <c r="M199" s="129">
        <f t="shared" si="80"/>
        <v>0</v>
      </c>
      <c r="N199" s="547">
        <f t="shared" si="54"/>
        <v>0</v>
      </c>
      <c r="O199" s="130">
        <f t="shared" si="81"/>
        <v>0</v>
      </c>
      <c r="P199" s="131">
        <f t="shared" si="64"/>
        <v>0</v>
      </c>
      <c r="Q199" s="578">
        <f t="shared" si="67"/>
        <v>1</v>
      </c>
      <c r="R199" s="587"/>
      <c r="S199" s="482"/>
      <c r="T199" s="482"/>
      <c r="U199" s="482"/>
      <c r="V199" s="482"/>
      <c r="W199" s="482"/>
      <c r="X199" s="482"/>
      <c r="Y199" s="482"/>
      <c r="Z199" s="482"/>
      <c r="AA199" s="482"/>
      <c r="AB199" s="482"/>
      <c r="AC199" s="482"/>
      <c r="AD199" s="482"/>
      <c r="AE199" s="482"/>
      <c r="AF199" s="482"/>
      <c r="AG199" s="482"/>
      <c r="AH199" s="482"/>
      <c r="AI199" s="482"/>
      <c r="AJ199" s="482"/>
      <c r="AK199" s="482"/>
      <c r="AL199" s="482"/>
      <c r="AM199" s="482"/>
      <c r="AN199" s="482"/>
      <c r="AO199" s="482"/>
      <c r="AP199" s="482"/>
      <c r="AQ199" s="482"/>
      <c r="AR199" s="482"/>
      <c r="AS199" s="482"/>
      <c r="AT199" s="482"/>
      <c r="AU199" s="482"/>
      <c r="AV199" s="482"/>
      <c r="AW199" s="483"/>
      <c r="AX199" s="484">
        <f t="shared" si="69"/>
        <v>0</v>
      </c>
      <c r="AY199" s="501" t="str">
        <f t="shared" si="65"/>
        <v/>
      </c>
      <c r="AZ199" s="488">
        <f t="shared" si="66"/>
        <v>0</v>
      </c>
    </row>
    <row r="200" spans="1:52" s="57" customFormat="1" ht="24.9" customHeight="1" x14ac:dyDescent="0.25">
      <c r="A200" s="425" t="s">
        <v>363</v>
      </c>
      <c r="B200" s="97" t="s">
        <v>273</v>
      </c>
      <c r="C200" s="97" t="s">
        <v>723</v>
      </c>
      <c r="D200" s="145" t="s">
        <v>165</v>
      </c>
      <c r="E200" s="230" t="s">
        <v>870</v>
      </c>
      <c r="F200" s="228" t="s">
        <v>708</v>
      </c>
      <c r="G200" s="127">
        <v>4.07</v>
      </c>
      <c r="H200" s="97" t="str">
        <f>VLOOKUP($F200,'Leistungswerte UHR Schulen'!$C$6:$F$38,3,FALSE)</f>
        <v>kR</v>
      </c>
      <c r="I200" s="328">
        <f>VLOOKUP(H200,Turnus!$D$9:$E$26,2,FALSE)</f>
        <v>0</v>
      </c>
      <c r="J200" s="127">
        <f t="shared" si="79"/>
        <v>0</v>
      </c>
      <c r="K200" s="128">
        <f>VLOOKUP($F200,'Leistungswerte UHR Schulen'!$C$6:$F$38,4,FALSE)</f>
        <v>0</v>
      </c>
      <c r="L200" s="496" t="str">
        <f t="shared" si="68"/>
        <v/>
      </c>
      <c r="M200" s="129">
        <f t="shared" si="80"/>
        <v>0</v>
      </c>
      <c r="N200" s="547">
        <f t="shared" si="54"/>
        <v>0</v>
      </c>
      <c r="O200" s="130">
        <f t="shared" si="81"/>
        <v>0</v>
      </c>
      <c r="P200" s="131">
        <f t="shared" ref="P200:P222" si="88">+M200*N200</f>
        <v>0</v>
      </c>
      <c r="Q200" s="578">
        <f t="shared" si="67"/>
        <v>1</v>
      </c>
      <c r="R200" s="587"/>
      <c r="S200" s="482"/>
      <c r="T200" s="482"/>
      <c r="U200" s="482"/>
      <c r="V200" s="482"/>
      <c r="W200" s="482"/>
      <c r="X200" s="482"/>
      <c r="Y200" s="482"/>
      <c r="Z200" s="482"/>
      <c r="AA200" s="482"/>
      <c r="AB200" s="482"/>
      <c r="AC200" s="482"/>
      <c r="AD200" s="482"/>
      <c r="AE200" s="482"/>
      <c r="AF200" s="482"/>
      <c r="AG200" s="482"/>
      <c r="AH200" s="482"/>
      <c r="AI200" s="482"/>
      <c r="AJ200" s="482"/>
      <c r="AK200" s="482"/>
      <c r="AL200" s="482"/>
      <c r="AM200" s="482"/>
      <c r="AN200" s="482"/>
      <c r="AO200" s="482"/>
      <c r="AP200" s="482"/>
      <c r="AQ200" s="482"/>
      <c r="AR200" s="482"/>
      <c r="AS200" s="482"/>
      <c r="AT200" s="482"/>
      <c r="AU200" s="482"/>
      <c r="AV200" s="482"/>
      <c r="AW200" s="483"/>
      <c r="AX200" s="484">
        <f t="shared" si="69"/>
        <v>0</v>
      </c>
      <c r="AY200" s="501" t="str">
        <f t="shared" ref="AY200:AY251" si="89">IFERROR(L200*AX200,"")</f>
        <v/>
      </c>
      <c r="AZ200" s="488">
        <f t="shared" ref="AZ200:AZ251" si="90">AX200*O200</f>
        <v>0</v>
      </c>
    </row>
    <row r="201" spans="1:52" s="57" customFormat="1" ht="24.9" customHeight="1" x14ac:dyDescent="0.25">
      <c r="A201" s="425" t="s">
        <v>363</v>
      </c>
      <c r="B201" s="97" t="s">
        <v>273</v>
      </c>
      <c r="C201" s="97" t="s">
        <v>724</v>
      </c>
      <c r="D201" s="145" t="s">
        <v>714</v>
      </c>
      <c r="E201" s="230" t="s">
        <v>870</v>
      </c>
      <c r="F201" s="228" t="s">
        <v>708</v>
      </c>
      <c r="G201" s="127">
        <v>7.26</v>
      </c>
      <c r="H201" s="97" t="str">
        <f>VLOOKUP($F201,'Leistungswerte UHR Schulen'!$C$6:$F$38,3,FALSE)</f>
        <v>kR</v>
      </c>
      <c r="I201" s="328">
        <f>VLOOKUP(H201,Turnus!$D$9:$E$26,2,FALSE)</f>
        <v>0</v>
      </c>
      <c r="J201" s="127">
        <f t="shared" ref="J201" si="91">+G201*I201</f>
        <v>0</v>
      </c>
      <c r="K201" s="128">
        <f>VLOOKUP($F201,'Leistungswerte UHR Schulen'!$C$6:$F$38,4,FALSE)</f>
        <v>0</v>
      </c>
      <c r="L201" s="496" t="str">
        <f t="shared" si="68"/>
        <v/>
      </c>
      <c r="M201" s="129">
        <f t="shared" ref="M201" si="92">IF(ISERROR(J201/K201),0,J201/K201)</f>
        <v>0</v>
      </c>
      <c r="N201" s="547">
        <f t="shared" si="54"/>
        <v>0</v>
      </c>
      <c r="O201" s="130">
        <f t="shared" ref="O201" si="93">IF(ISERROR(G201/K201*N201),0,G201/K201*N201)</f>
        <v>0</v>
      </c>
      <c r="P201" s="131">
        <f t="shared" si="88"/>
        <v>0</v>
      </c>
      <c r="Q201" s="578">
        <f t="shared" ref="Q201:Q251" si="94">IF(A201="Schule",1,IF(A201="Sporthalle",1,2))</f>
        <v>1</v>
      </c>
      <c r="R201" s="587"/>
      <c r="S201" s="482"/>
      <c r="T201" s="482"/>
      <c r="U201" s="482"/>
      <c r="V201" s="482"/>
      <c r="W201" s="482"/>
      <c r="X201" s="482"/>
      <c r="Y201" s="482"/>
      <c r="Z201" s="482"/>
      <c r="AA201" s="482"/>
      <c r="AB201" s="482"/>
      <c r="AC201" s="482"/>
      <c r="AD201" s="482"/>
      <c r="AE201" s="482"/>
      <c r="AF201" s="482"/>
      <c r="AG201" s="482"/>
      <c r="AH201" s="482"/>
      <c r="AI201" s="482"/>
      <c r="AJ201" s="482"/>
      <c r="AK201" s="482"/>
      <c r="AL201" s="482"/>
      <c r="AM201" s="482"/>
      <c r="AN201" s="482"/>
      <c r="AO201" s="482"/>
      <c r="AP201" s="482"/>
      <c r="AQ201" s="482"/>
      <c r="AR201" s="482"/>
      <c r="AS201" s="482"/>
      <c r="AT201" s="482"/>
      <c r="AU201" s="482"/>
      <c r="AV201" s="482"/>
      <c r="AW201" s="483"/>
      <c r="AX201" s="484">
        <f t="shared" si="69"/>
        <v>0</v>
      </c>
      <c r="AY201" s="501" t="str">
        <f t="shared" si="89"/>
        <v/>
      </c>
      <c r="AZ201" s="488">
        <f t="shared" si="90"/>
        <v>0</v>
      </c>
    </row>
    <row r="202" spans="1:52" s="57" customFormat="1" ht="24.9" customHeight="1" x14ac:dyDescent="0.25">
      <c r="A202" s="425" t="s">
        <v>363</v>
      </c>
      <c r="B202" s="97" t="s">
        <v>273</v>
      </c>
      <c r="C202" s="97" t="s">
        <v>871</v>
      </c>
      <c r="D202" s="145" t="s">
        <v>102</v>
      </c>
      <c r="E202" s="230" t="s">
        <v>253</v>
      </c>
      <c r="F202" s="414" t="s">
        <v>902</v>
      </c>
      <c r="G202" s="127">
        <v>8.66</v>
      </c>
      <c r="H202" s="566" t="str">
        <f>VLOOKUP($F202,'Leistungswerte UHR Schulen'!$C$6:$F$38,3,FALSE)</f>
        <v>W6</v>
      </c>
      <c r="I202" s="567">
        <f>VLOOKUP(H202,Turnus!$D$9:$E$26,2,FALSE)</f>
        <v>226.35714285714283</v>
      </c>
      <c r="J202" s="127">
        <f>+G202*I202</f>
        <v>1960.252857142857</v>
      </c>
      <c r="K202" s="128">
        <f>VLOOKUP($F202,'Leistungswerte UHR Schulen'!$C$6:$F$38,4,FALSE)</f>
        <v>0</v>
      </c>
      <c r="L202" s="496" t="str">
        <f t="shared" ref="L202" si="95">IFERROR(G202/K202,"")</f>
        <v/>
      </c>
      <c r="M202" s="129">
        <f>IF(ISERROR(J202/K202),0,J202/K202)</f>
        <v>0</v>
      </c>
      <c r="N202" s="547">
        <f t="shared" si="54"/>
        <v>0</v>
      </c>
      <c r="O202" s="130">
        <f>IF(ISERROR(G202/K202*N202),0,G202/K202*N202)</f>
        <v>0</v>
      </c>
      <c r="P202" s="131">
        <f t="shared" si="88"/>
        <v>0</v>
      </c>
      <c r="Q202" s="578">
        <f t="shared" si="94"/>
        <v>1</v>
      </c>
      <c r="R202" s="587"/>
      <c r="S202" s="482"/>
      <c r="T202" s="482"/>
      <c r="U202" s="482"/>
      <c r="V202" s="482"/>
      <c r="W202" s="482"/>
      <c r="X202" s="482"/>
      <c r="Y202" s="482"/>
      <c r="Z202" s="482"/>
      <c r="AA202" s="482"/>
      <c r="AB202" s="482"/>
      <c r="AC202" s="482"/>
      <c r="AD202" s="482"/>
      <c r="AE202" s="482"/>
      <c r="AF202" s="482"/>
      <c r="AG202" s="482"/>
      <c r="AH202" s="482"/>
      <c r="AI202" s="482"/>
      <c r="AJ202" s="482"/>
      <c r="AK202" s="482"/>
      <c r="AL202" s="482"/>
      <c r="AM202" s="482"/>
      <c r="AN202" s="482"/>
      <c r="AO202" s="482"/>
      <c r="AP202" s="482"/>
      <c r="AQ202" s="482"/>
      <c r="AR202" s="482"/>
      <c r="AS202" s="482"/>
      <c r="AT202" s="482"/>
      <c r="AU202" s="482"/>
      <c r="AV202" s="482"/>
      <c r="AW202" s="483"/>
      <c r="AX202" s="484">
        <f t="shared" ref="AX202" si="96">SUM(S202:AW202)</f>
        <v>0</v>
      </c>
      <c r="AY202" s="501" t="str">
        <f t="shared" si="89"/>
        <v/>
      </c>
      <c r="AZ202" s="488">
        <f t="shared" si="90"/>
        <v>0</v>
      </c>
    </row>
    <row r="203" spans="1:52" s="57" customFormat="1" ht="24.9" customHeight="1" x14ac:dyDescent="0.25">
      <c r="A203" s="425" t="s">
        <v>363</v>
      </c>
      <c r="B203" s="97" t="s">
        <v>273</v>
      </c>
      <c r="C203" s="97" t="s">
        <v>598</v>
      </c>
      <c r="D203" s="145" t="s">
        <v>102</v>
      </c>
      <c r="E203" s="230" t="s">
        <v>253</v>
      </c>
      <c r="F203" s="414" t="s">
        <v>902</v>
      </c>
      <c r="G203" s="127">
        <v>35.51</v>
      </c>
      <c r="H203" s="566" t="str">
        <f>VLOOKUP($F203,'Leistungswerte UHR Schulen'!$C$6:$F$38,3,FALSE)</f>
        <v>W6</v>
      </c>
      <c r="I203" s="567">
        <f>VLOOKUP(H203,Turnus!$D$9:$E$26,2,FALSE)</f>
        <v>226.35714285714283</v>
      </c>
      <c r="J203" s="127">
        <f>+G203*I203</f>
        <v>8037.9421428571413</v>
      </c>
      <c r="K203" s="128">
        <f>VLOOKUP($F203,'Leistungswerte UHR Schulen'!$C$6:$F$38,4,FALSE)</f>
        <v>0</v>
      </c>
      <c r="L203" s="496" t="str">
        <f t="shared" si="68"/>
        <v/>
      </c>
      <c r="M203" s="129">
        <f>IF(ISERROR(J203/K203),0,J203/K203)</f>
        <v>0</v>
      </c>
      <c r="N203" s="547">
        <f t="shared" si="54"/>
        <v>0</v>
      </c>
      <c r="O203" s="130">
        <f>IF(ISERROR(G203/K203*N203),0,G203/K203*N203)</f>
        <v>0</v>
      </c>
      <c r="P203" s="131">
        <f t="shared" si="88"/>
        <v>0</v>
      </c>
      <c r="Q203" s="578">
        <f t="shared" si="94"/>
        <v>1</v>
      </c>
      <c r="R203" s="587"/>
      <c r="S203" s="482"/>
      <c r="T203" s="482"/>
      <c r="U203" s="482"/>
      <c r="V203" s="482"/>
      <c r="W203" s="482"/>
      <c r="X203" s="482"/>
      <c r="Y203" s="482"/>
      <c r="Z203" s="482"/>
      <c r="AA203" s="482"/>
      <c r="AB203" s="482"/>
      <c r="AC203" s="482"/>
      <c r="AD203" s="482"/>
      <c r="AE203" s="482"/>
      <c r="AF203" s="482"/>
      <c r="AG203" s="482"/>
      <c r="AH203" s="482"/>
      <c r="AI203" s="482"/>
      <c r="AJ203" s="482"/>
      <c r="AK203" s="482"/>
      <c r="AL203" s="482"/>
      <c r="AM203" s="482"/>
      <c r="AN203" s="482"/>
      <c r="AO203" s="482"/>
      <c r="AP203" s="482"/>
      <c r="AQ203" s="482"/>
      <c r="AR203" s="482"/>
      <c r="AS203" s="482"/>
      <c r="AT203" s="482"/>
      <c r="AU203" s="482"/>
      <c r="AV203" s="482"/>
      <c r="AW203" s="483"/>
      <c r="AX203" s="484">
        <f t="shared" si="69"/>
        <v>0</v>
      </c>
      <c r="AY203" s="501" t="str">
        <f t="shared" si="89"/>
        <v/>
      </c>
      <c r="AZ203" s="488">
        <f t="shared" si="90"/>
        <v>0</v>
      </c>
    </row>
    <row r="204" spans="1:52" s="57" customFormat="1" ht="24.9" customHeight="1" x14ac:dyDescent="0.25">
      <c r="A204" s="425" t="s">
        <v>363</v>
      </c>
      <c r="B204" s="97" t="s">
        <v>273</v>
      </c>
      <c r="C204" s="97" t="s">
        <v>581</v>
      </c>
      <c r="D204" s="145" t="s">
        <v>270</v>
      </c>
      <c r="E204" s="230" t="s">
        <v>171</v>
      </c>
      <c r="F204" s="414" t="s">
        <v>673</v>
      </c>
      <c r="G204" s="127">
        <v>22.91</v>
      </c>
      <c r="H204" s="566" t="str">
        <f>VLOOKUP($F204,'Leistungswerte UHR Schulen'!$C$6:$F$38,3,FALSE)</f>
        <v>W6</v>
      </c>
      <c r="I204" s="567">
        <f>VLOOKUP(H204,Turnus!$D$9:$E$26,2,FALSE)</f>
        <v>226.35714285714283</v>
      </c>
      <c r="J204" s="127">
        <f t="shared" si="79"/>
        <v>5185.8421428571419</v>
      </c>
      <c r="K204" s="128">
        <f>VLOOKUP($F204,'Leistungswerte UHR Schulen'!$C$6:$F$38,4,FALSE)</f>
        <v>0</v>
      </c>
      <c r="L204" s="496" t="str">
        <f t="shared" ref="L204:L251" si="97">IFERROR(G204/K204,"")</f>
        <v/>
      </c>
      <c r="M204" s="129">
        <f t="shared" si="80"/>
        <v>0</v>
      </c>
      <c r="N204" s="547">
        <f t="shared" si="54"/>
        <v>0</v>
      </c>
      <c r="O204" s="130">
        <f t="shared" si="81"/>
        <v>0</v>
      </c>
      <c r="P204" s="131">
        <f t="shared" si="88"/>
        <v>0</v>
      </c>
      <c r="Q204" s="578">
        <f t="shared" si="94"/>
        <v>1</v>
      </c>
      <c r="R204" s="587"/>
      <c r="S204" s="482"/>
      <c r="T204" s="482"/>
      <c r="U204" s="482"/>
      <c r="V204" s="482"/>
      <c r="W204" s="482"/>
      <c r="X204" s="482"/>
      <c r="Y204" s="482"/>
      <c r="Z204" s="482"/>
      <c r="AA204" s="482"/>
      <c r="AB204" s="482"/>
      <c r="AC204" s="482"/>
      <c r="AD204" s="482"/>
      <c r="AE204" s="482"/>
      <c r="AF204" s="482"/>
      <c r="AG204" s="482"/>
      <c r="AH204" s="482"/>
      <c r="AI204" s="482"/>
      <c r="AJ204" s="482"/>
      <c r="AK204" s="482"/>
      <c r="AL204" s="482"/>
      <c r="AM204" s="482"/>
      <c r="AN204" s="482"/>
      <c r="AO204" s="482"/>
      <c r="AP204" s="482"/>
      <c r="AQ204" s="482"/>
      <c r="AR204" s="482"/>
      <c r="AS204" s="482"/>
      <c r="AT204" s="482"/>
      <c r="AU204" s="482"/>
      <c r="AV204" s="482"/>
      <c r="AW204" s="483"/>
      <c r="AX204" s="484">
        <f t="shared" ref="AX204:AX251" si="98">SUM(S204:AW204)</f>
        <v>0</v>
      </c>
      <c r="AY204" s="501" t="str">
        <f t="shared" si="89"/>
        <v/>
      </c>
      <c r="AZ204" s="488">
        <f t="shared" si="90"/>
        <v>0</v>
      </c>
    </row>
    <row r="205" spans="1:52" s="57" customFormat="1" ht="24.9" customHeight="1" x14ac:dyDescent="0.25">
      <c r="A205" s="425" t="s">
        <v>363</v>
      </c>
      <c r="B205" s="97" t="s">
        <v>273</v>
      </c>
      <c r="C205" s="97" t="s">
        <v>582</v>
      </c>
      <c r="D205" s="145" t="s">
        <v>387</v>
      </c>
      <c r="E205" s="230" t="s">
        <v>171</v>
      </c>
      <c r="F205" s="414" t="s">
        <v>673</v>
      </c>
      <c r="G205" s="127">
        <v>6.67</v>
      </c>
      <c r="H205" s="566" t="str">
        <f>VLOOKUP($F205,'Leistungswerte UHR Schulen'!$C$6:$F$38,3,FALSE)</f>
        <v>W6</v>
      </c>
      <c r="I205" s="567">
        <f>VLOOKUP(H205,Turnus!$D$9:$E$26,2,FALSE)</f>
        <v>226.35714285714283</v>
      </c>
      <c r="J205" s="127">
        <f t="shared" si="79"/>
        <v>1509.8021428571426</v>
      </c>
      <c r="K205" s="128">
        <f>VLOOKUP($F205,'Leistungswerte UHR Schulen'!$C$6:$F$38,4,FALSE)</f>
        <v>0</v>
      </c>
      <c r="L205" s="496" t="str">
        <f t="shared" si="97"/>
        <v/>
      </c>
      <c r="M205" s="129">
        <f t="shared" si="80"/>
        <v>0</v>
      </c>
      <c r="N205" s="547">
        <f t="shared" si="54"/>
        <v>0</v>
      </c>
      <c r="O205" s="130">
        <f t="shared" si="81"/>
        <v>0</v>
      </c>
      <c r="P205" s="131">
        <f t="shared" si="88"/>
        <v>0</v>
      </c>
      <c r="Q205" s="578">
        <f t="shared" si="94"/>
        <v>1</v>
      </c>
      <c r="R205" s="587"/>
      <c r="S205" s="482"/>
      <c r="T205" s="482"/>
      <c r="U205" s="482"/>
      <c r="V205" s="482"/>
      <c r="W205" s="482"/>
      <c r="X205" s="482"/>
      <c r="Y205" s="482"/>
      <c r="Z205" s="482"/>
      <c r="AA205" s="482"/>
      <c r="AB205" s="482"/>
      <c r="AC205" s="482"/>
      <c r="AD205" s="482"/>
      <c r="AE205" s="482"/>
      <c r="AF205" s="482"/>
      <c r="AG205" s="482"/>
      <c r="AH205" s="482"/>
      <c r="AI205" s="482"/>
      <c r="AJ205" s="482"/>
      <c r="AK205" s="482"/>
      <c r="AL205" s="482"/>
      <c r="AM205" s="482"/>
      <c r="AN205" s="482"/>
      <c r="AO205" s="482"/>
      <c r="AP205" s="482"/>
      <c r="AQ205" s="482"/>
      <c r="AR205" s="482"/>
      <c r="AS205" s="482"/>
      <c r="AT205" s="482"/>
      <c r="AU205" s="482"/>
      <c r="AV205" s="482"/>
      <c r="AW205" s="483"/>
      <c r="AX205" s="484">
        <f t="shared" si="98"/>
        <v>0</v>
      </c>
      <c r="AY205" s="501" t="str">
        <f t="shared" si="89"/>
        <v/>
      </c>
      <c r="AZ205" s="488">
        <f t="shared" si="90"/>
        <v>0</v>
      </c>
    </row>
    <row r="206" spans="1:52" s="57" customFormat="1" ht="24.9" customHeight="1" x14ac:dyDescent="0.25">
      <c r="A206" s="425" t="s">
        <v>363</v>
      </c>
      <c r="B206" s="97" t="s">
        <v>273</v>
      </c>
      <c r="C206" s="97" t="s">
        <v>583</v>
      </c>
      <c r="D206" s="145" t="s">
        <v>385</v>
      </c>
      <c r="E206" s="230" t="s">
        <v>171</v>
      </c>
      <c r="F206" s="414" t="s">
        <v>673</v>
      </c>
      <c r="G206" s="127">
        <v>18.940000000000001</v>
      </c>
      <c r="H206" s="566" t="str">
        <f>VLOOKUP($F206,'Leistungswerte UHR Schulen'!$C$6:$F$38,3,FALSE)</f>
        <v>W6</v>
      </c>
      <c r="I206" s="567">
        <f>VLOOKUP(H206,Turnus!$D$9:$E$26,2,FALSE)</f>
        <v>226.35714285714283</v>
      </c>
      <c r="J206" s="127">
        <f t="shared" si="79"/>
        <v>4287.2042857142851</v>
      </c>
      <c r="K206" s="128">
        <f>VLOOKUP($F206,'Leistungswerte UHR Schulen'!$C$6:$F$38,4,FALSE)</f>
        <v>0</v>
      </c>
      <c r="L206" s="496" t="str">
        <f t="shared" si="97"/>
        <v/>
      </c>
      <c r="M206" s="129">
        <f t="shared" si="80"/>
        <v>0</v>
      </c>
      <c r="N206" s="547">
        <f t="shared" si="54"/>
        <v>0</v>
      </c>
      <c r="O206" s="130">
        <f t="shared" si="81"/>
        <v>0</v>
      </c>
      <c r="P206" s="131">
        <f t="shared" si="88"/>
        <v>0</v>
      </c>
      <c r="Q206" s="578">
        <f t="shared" si="94"/>
        <v>1</v>
      </c>
      <c r="R206" s="587"/>
      <c r="S206" s="482"/>
      <c r="T206" s="482"/>
      <c r="U206" s="482"/>
      <c r="V206" s="482"/>
      <c r="W206" s="482"/>
      <c r="X206" s="482"/>
      <c r="Y206" s="482"/>
      <c r="Z206" s="482"/>
      <c r="AA206" s="482"/>
      <c r="AB206" s="482"/>
      <c r="AC206" s="482"/>
      <c r="AD206" s="482"/>
      <c r="AE206" s="482"/>
      <c r="AF206" s="482"/>
      <c r="AG206" s="482"/>
      <c r="AH206" s="482"/>
      <c r="AI206" s="482"/>
      <c r="AJ206" s="482"/>
      <c r="AK206" s="482"/>
      <c r="AL206" s="482"/>
      <c r="AM206" s="482"/>
      <c r="AN206" s="482"/>
      <c r="AO206" s="482"/>
      <c r="AP206" s="482"/>
      <c r="AQ206" s="482"/>
      <c r="AR206" s="482"/>
      <c r="AS206" s="482"/>
      <c r="AT206" s="482"/>
      <c r="AU206" s="482"/>
      <c r="AV206" s="482"/>
      <c r="AW206" s="483"/>
      <c r="AX206" s="484">
        <f t="shared" si="98"/>
        <v>0</v>
      </c>
      <c r="AY206" s="501" t="str">
        <f t="shared" si="89"/>
        <v/>
      </c>
      <c r="AZ206" s="488">
        <f t="shared" si="90"/>
        <v>0</v>
      </c>
    </row>
    <row r="207" spans="1:52" s="57" customFormat="1" ht="24.9" customHeight="1" x14ac:dyDescent="0.25">
      <c r="A207" s="425" t="s">
        <v>363</v>
      </c>
      <c r="B207" s="97" t="s">
        <v>273</v>
      </c>
      <c r="C207" s="97" t="s">
        <v>584</v>
      </c>
      <c r="D207" s="145" t="s">
        <v>514</v>
      </c>
      <c r="E207" s="230" t="s">
        <v>253</v>
      </c>
      <c r="F207" s="414" t="s">
        <v>898</v>
      </c>
      <c r="G207" s="127">
        <v>27</v>
      </c>
      <c r="H207" s="566" t="str">
        <f>VLOOKUP($F207,'Leistungswerte UHR Schulen'!$C$6:$F$38,3,FALSE)</f>
        <v>W6</v>
      </c>
      <c r="I207" s="567">
        <f>VLOOKUP(H207,Turnus!$D$9:$E$26,2,FALSE)</f>
        <v>226.35714285714283</v>
      </c>
      <c r="J207" s="127">
        <f t="shared" si="79"/>
        <v>6111.6428571428569</v>
      </c>
      <c r="K207" s="128">
        <f>VLOOKUP($F207,'Leistungswerte UHR Schulen'!$C$6:$F$38,4,FALSE)</f>
        <v>0</v>
      </c>
      <c r="L207" s="496" t="str">
        <f t="shared" si="97"/>
        <v/>
      </c>
      <c r="M207" s="129">
        <f t="shared" si="80"/>
        <v>0</v>
      </c>
      <c r="N207" s="547">
        <f t="shared" si="54"/>
        <v>0</v>
      </c>
      <c r="O207" s="130">
        <f t="shared" si="81"/>
        <v>0</v>
      </c>
      <c r="P207" s="131">
        <f t="shared" si="88"/>
        <v>0</v>
      </c>
      <c r="Q207" s="578">
        <f t="shared" si="94"/>
        <v>1</v>
      </c>
      <c r="R207" s="587"/>
      <c r="S207" s="482"/>
      <c r="T207" s="482"/>
      <c r="U207" s="482"/>
      <c r="V207" s="482"/>
      <c r="W207" s="482"/>
      <c r="X207" s="482"/>
      <c r="Y207" s="482"/>
      <c r="Z207" s="482"/>
      <c r="AA207" s="482"/>
      <c r="AB207" s="482"/>
      <c r="AC207" s="482"/>
      <c r="AD207" s="482"/>
      <c r="AE207" s="482"/>
      <c r="AF207" s="482"/>
      <c r="AG207" s="482"/>
      <c r="AH207" s="482"/>
      <c r="AI207" s="482"/>
      <c r="AJ207" s="482"/>
      <c r="AK207" s="482"/>
      <c r="AL207" s="482"/>
      <c r="AM207" s="482"/>
      <c r="AN207" s="482"/>
      <c r="AO207" s="482"/>
      <c r="AP207" s="482"/>
      <c r="AQ207" s="482"/>
      <c r="AR207" s="482"/>
      <c r="AS207" s="482"/>
      <c r="AT207" s="482"/>
      <c r="AU207" s="482"/>
      <c r="AV207" s="482"/>
      <c r="AW207" s="483"/>
      <c r="AX207" s="484">
        <f t="shared" si="98"/>
        <v>0</v>
      </c>
      <c r="AY207" s="501" t="str">
        <f t="shared" si="89"/>
        <v/>
      </c>
      <c r="AZ207" s="488">
        <f t="shared" si="90"/>
        <v>0</v>
      </c>
    </row>
    <row r="208" spans="1:52" s="57" customFormat="1" ht="24.9" customHeight="1" x14ac:dyDescent="0.25">
      <c r="A208" s="425" t="s">
        <v>363</v>
      </c>
      <c r="B208" s="97" t="s">
        <v>273</v>
      </c>
      <c r="C208" s="97" t="s">
        <v>585</v>
      </c>
      <c r="D208" s="145" t="s">
        <v>516</v>
      </c>
      <c r="E208" s="230" t="s">
        <v>171</v>
      </c>
      <c r="F208" s="414" t="s">
        <v>899</v>
      </c>
      <c r="G208" s="127">
        <v>21.65</v>
      </c>
      <c r="H208" s="566" t="str">
        <f>VLOOKUP($F208,'Leistungswerte UHR Schulen'!$C$6:$F$38,3,FALSE)</f>
        <v>W6</v>
      </c>
      <c r="I208" s="567">
        <f>VLOOKUP(H208,Turnus!$D$9:$E$26,2,FALSE)</f>
        <v>226.35714285714283</v>
      </c>
      <c r="J208" s="127">
        <f t="shared" si="79"/>
        <v>4900.6321428571418</v>
      </c>
      <c r="K208" s="128">
        <f>VLOOKUP($F208,'Leistungswerte UHR Schulen'!$C$6:$F$38,4,FALSE)</f>
        <v>0</v>
      </c>
      <c r="L208" s="496" t="str">
        <f t="shared" si="97"/>
        <v/>
      </c>
      <c r="M208" s="129">
        <f t="shared" si="80"/>
        <v>0</v>
      </c>
      <c r="N208" s="547">
        <f t="shared" si="54"/>
        <v>0</v>
      </c>
      <c r="O208" s="130">
        <f t="shared" si="81"/>
        <v>0</v>
      </c>
      <c r="P208" s="131">
        <f t="shared" si="88"/>
        <v>0</v>
      </c>
      <c r="Q208" s="578">
        <f t="shared" si="94"/>
        <v>1</v>
      </c>
      <c r="R208" s="587"/>
      <c r="S208" s="482"/>
      <c r="T208" s="482"/>
      <c r="U208" s="482"/>
      <c r="V208" s="482"/>
      <c r="W208" s="482"/>
      <c r="X208" s="482"/>
      <c r="Y208" s="482"/>
      <c r="Z208" s="482"/>
      <c r="AA208" s="482"/>
      <c r="AB208" s="482"/>
      <c r="AC208" s="482"/>
      <c r="AD208" s="482"/>
      <c r="AE208" s="482"/>
      <c r="AF208" s="482"/>
      <c r="AG208" s="482"/>
      <c r="AH208" s="482"/>
      <c r="AI208" s="482"/>
      <c r="AJ208" s="482"/>
      <c r="AK208" s="482"/>
      <c r="AL208" s="482"/>
      <c r="AM208" s="482"/>
      <c r="AN208" s="482"/>
      <c r="AO208" s="482"/>
      <c r="AP208" s="482"/>
      <c r="AQ208" s="482"/>
      <c r="AR208" s="482"/>
      <c r="AS208" s="482"/>
      <c r="AT208" s="482"/>
      <c r="AU208" s="482"/>
      <c r="AV208" s="482"/>
      <c r="AW208" s="483"/>
      <c r="AX208" s="484">
        <f t="shared" si="98"/>
        <v>0</v>
      </c>
      <c r="AY208" s="501" t="str">
        <f t="shared" si="89"/>
        <v/>
      </c>
      <c r="AZ208" s="488">
        <f t="shared" si="90"/>
        <v>0</v>
      </c>
    </row>
    <row r="209" spans="1:52" s="57" customFormat="1" ht="24.9" customHeight="1" x14ac:dyDescent="0.25">
      <c r="A209" s="425" t="s">
        <v>363</v>
      </c>
      <c r="B209" s="97" t="s">
        <v>273</v>
      </c>
      <c r="C209" s="97" t="s">
        <v>586</v>
      </c>
      <c r="D209" s="145" t="s">
        <v>244</v>
      </c>
      <c r="E209" s="230" t="s">
        <v>171</v>
      </c>
      <c r="F209" s="414" t="s">
        <v>673</v>
      </c>
      <c r="G209" s="127">
        <v>1.85</v>
      </c>
      <c r="H209" s="566" t="str">
        <f>VLOOKUP($F209,'Leistungswerte UHR Schulen'!$C$6:$F$38,3,FALSE)</f>
        <v>W6</v>
      </c>
      <c r="I209" s="567">
        <f>VLOOKUP(H209,Turnus!$D$9:$E$26,2,FALSE)</f>
        <v>226.35714285714283</v>
      </c>
      <c r="J209" s="127">
        <f t="shared" si="79"/>
        <v>418.76071428571424</v>
      </c>
      <c r="K209" s="128">
        <f>VLOOKUP($F209,'Leistungswerte UHR Schulen'!$C$6:$F$38,4,FALSE)</f>
        <v>0</v>
      </c>
      <c r="L209" s="496" t="str">
        <f t="shared" si="97"/>
        <v/>
      </c>
      <c r="M209" s="129">
        <f t="shared" si="80"/>
        <v>0</v>
      </c>
      <c r="N209" s="547">
        <f t="shared" si="54"/>
        <v>0</v>
      </c>
      <c r="O209" s="130">
        <f t="shared" si="81"/>
        <v>0</v>
      </c>
      <c r="P209" s="131">
        <f t="shared" si="88"/>
        <v>0</v>
      </c>
      <c r="Q209" s="578">
        <f t="shared" si="94"/>
        <v>1</v>
      </c>
      <c r="R209" s="587"/>
      <c r="S209" s="482"/>
      <c r="T209" s="482"/>
      <c r="U209" s="482"/>
      <c r="V209" s="482"/>
      <c r="W209" s="482"/>
      <c r="X209" s="482"/>
      <c r="Y209" s="482"/>
      <c r="Z209" s="482"/>
      <c r="AA209" s="482"/>
      <c r="AB209" s="482"/>
      <c r="AC209" s="482"/>
      <c r="AD209" s="482"/>
      <c r="AE209" s="482"/>
      <c r="AF209" s="482"/>
      <c r="AG209" s="482"/>
      <c r="AH209" s="482"/>
      <c r="AI209" s="482"/>
      <c r="AJ209" s="482"/>
      <c r="AK209" s="482"/>
      <c r="AL209" s="482"/>
      <c r="AM209" s="482"/>
      <c r="AN209" s="482"/>
      <c r="AO209" s="482"/>
      <c r="AP209" s="482"/>
      <c r="AQ209" s="482"/>
      <c r="AR209" s="482"/>
      <c r="AS209" s="482"/>
      <c r="AT209" s="482"/>
      <c r="AU209" s="482"/>
      <c r="AV209" s="482"/>
      <c r="AW209" s="483"/>
      <c r="AX209" s="484">
        <f t="shared" si="98"/>
        <v>0</v>
      </c>
      <c r="AY209" s="501" t="str">
        <f t="shared" si="89"/>
        <v/>
      </c>
      <c r="AZ209" s="488">
        <f t="shared" si="90"/>
        <v>0</v>
      </c>
    </row>
    <row r="210" spans="1:52" s="57" customFormat="1" ht="24.9" customHeight="1" x14ac:dyDescent="0.25">
      <c r="A210" s="425" t="s">
        <v>363</v>
      </c>
      <c r="B210" s="97" t="s">
        <v>273</v>
      </c>
      <c r="C210" s="97" t="s">
        <v>587</v>
      </c>
      <c r="D210" s="145" t="s">
        <v>244</v>
      </c>
      <c r="E210" s="230" t="s">
        <v>171</v>
      </c>
      <c r="F210" s="414" t="s">
        <v>673</v>
      </c>
      <c r="G210" s="127">
        <v>1.85</v>
      </c>
      <c r="H210" s="566" t="str">
        <f>VLOOKUP($F210,'Leistungswerte UHR Schulen'!$C$6:$F$38,3,FALSE)</f>
        <v>W6</v>
      </c>
      <c r="I210" s="567">
        <f>VLOOKUP(H210,Turnus!$D$9:$E$26,2,FALSE)</f>
        <v>226.35714285714283</v>
      </c>
      <c r="J210" s="127">
        <f t="shared" si="79"/>
        <v>418.76071428571424</v>
      </c>
      <c r="K210" s="128">
        <f>VLOOKUP($F210,'Leistungswerte UHR Schulen'!$C$6:$F$38,4,FALSE)</f>
        <v>0</v>
      </c>
      <c r="L210" s="496" t="str">
        <f t="shared" si="97"/>
        <v/>
      </c>
      <c r="M210" s="129">
        <f t="shared" si="80"/>
        <v>0</v>
      </c>
      <c r="N210" s="547">
        <f t="shared" si="54"/>
        <v>0</v>
      </c>
      <c r="O210" s="130">
        <f t="shared" si="81"/>
        <v>0</v>
      </c>
      <c r="P210" s="131">
        <f t="shared" si="88"/>
        <v>0</v>
      </c>
      <c r="Q210" s="578">
        <f t="shared" si="94"/>
        <v>1</v>
      </c>
      <c r="R210" s="587"/>
      <c r="S210" s="482"/>
      <c r="T210" s="482"/>
      <c r="U210" s="482"/>
      <c r="V210" s="482"/>
      <c r="W210" s="482"/>
      <c r="X210" s="482"/>
      <c r="Y210" s="482"/>
      <c r="Z210" s="482"/>
      <c r="AA210" s="482"/>
      <c r="AB210" s="482"/>
      <c r="AC210" s="482"/>
      <c r="AD210" s="482"/>
      <c r="AE210" s="482"/>
      <c r="AF210" s="482"/>
      <c r="AG210" s="482"/>
      <c r="AH210" s="482"/>
      <c r="AI210" s="482"/>
      <c r="AJ210" s="482"/>
      <c r="AK210" s="482"/>
      <c r="AL210" s="482"/>
      <c r="AM210" s="482"/>
      <c r="AN210" s="482"/>
      <c r="AO210" s="482"/>
      <c r="AP210" s="482"/>
      <c r="AQ210" s="482"/>
      <c r="AR210" s="482"/>
      <c r="AS210" s="482"/>
      <c r="AT210" s="482"/>
      <c r="AU210" s="482"/>
      <c r="AV210" s="482"/>
      <c r="AW210" s="483"/>
      <c r="AX210" s="484">
        <f t="shared" si="98"/>
        <v>0</v>
      </c>
      <c r="AY210" s="501" t="str">
        <f t="shared" si="89"/>
        <v/>
      </c>
      <c r="AZ210" s="488">
        <f t="shared" si="90"/>
        <v>0</v>
      </c>
    </row>
    <row r="211" spans="1:52" s="57" customFormat="1" ht="24.9" customHeight="1" x14ac:dyDescent="0.25">
      <c r="A211" s="425" t="s">
        <v>363</v>
      </c>
      <c r="B211" s="97" t="s">
        <v>273</v>
      </c>
      <c r="C211" s="97" t="s">
        <v>588</v>
      </c>
      <c r="D211" s="145" t="s">
        <v>514</v>
      </c>
      <c r="E211" s="230" t="s">
        <v>253</v>
      </c>
      <c r="F211" s="414" t="s">
        <v>898</v>
      </c>
      <c r="G211" s="127">
        <v>27</v>
      </c>
      <c r="H211" s="566" t="str">
        <f>VLOOKUP($F211,'Leistungswerte UHR Schulen'!$C$6:$F$38,3,FALSE)</f>
        <v>W6</v>
      </c>
      <c r="I211" s="567">
        <f>VLOOKUP(H211,Turnus!$D$9:$E$26,2,FALSE)</f>
        <v>226.35714285714283</v>
      </c>
      <c r="J211" s="127">
        <f t="shared" si="79"/>
        <v>6111.6428571428569</v>
      </c>
      <c r="K211" s="128">
        <f>VLOOKUP($F211,'Leistungswerte UHR Schulen'!$C$6:$F$38,4,FALSE)</f>
        <v>0</v>
      </c>
      <c r="L211" s="496" t="str">
        <f t="shared" si="97"/>
        <v/>
      </c>
      <c r="M211" s="129">
        <f t="shared" si="80"/>
        <v>0</v>
      </c>
      <c r="N211" s="547">
        <f t="shared" si="54"/>
        <v>0</v>
      </c>
      <c r="O211" s="130">
        <f t="shared" si="81"/>
        <v>0</v>
      </c>
      <c r="P211" s="131">
        <f t="shared" si="88"/>
        <v>0</v>
      </c>
      <c r="Q211" s="578">
        <f t="shared" si="94"/>
        <v>1</v>
      </c>
      <c r="R211" s="587"/>
      <c r="S211" s="482"/>
      <c r="T211" s="482"/>
      <c r="U211" s="482"/>
      <c r="V211" s="482"/>
      <c r="W211" s="482"/>
      <c r="X211" s="482"/>
      <c r="Y211" s="482"/>
      <c r="Z211" s="482"/>
      <c r="AA211" s="482"/>
      <c r="AB211" s="482"/>
      <c r="AC211" s="482"/>
      <c r="AD211" s="482"/>
      <c r="AE211" s="482"/>
      <c r="AF211" s="482"/>
      <c r="AG211" s="482"/>
      <c r="AH211" s="482"/>
      <c r="AI211" s="482"/>
      <c r="AJ211" s="482"/>
      <c r="AK211" s="482"/>
      <c r="AL211" s="482"/>
      <c r="AM211" s="482"/>
      <c r="AN211" s="482"/>
      <c r="AO211" s="482"/>
      <c r="AP211" s="482"/>
      <c r="AQ211" s="482"/>
      <c r="AR211" s="482"/>
      <c r="AS211" s="482"/>
      <c r="AT211" s="482"/>
      <c r="AU211" s="482"/>
      <c r="AV211" s="482"/>
      <c r="AW211" s="483"/>
      <c r="AX211" s="484">
        <f t="shared" si="98"/>
        <v>0</v>
      </c>
      <c r="AY211" s="501" t="str">
        <f t="shared" si="89"/>
        <v/>
      </c>
      <c r="AZ211" s="488">
        <f t="shared" si="90"/>
        <v>0</v>
      </c>
    </row>
    <row r="212" spans="1:52" s="57" customFormat="1" ht="24.9" customHeight="1" x14ac:dyDescent="0.25">
      <c r="A212" s="425" t="s">
        <v>363</v>
      </c>
      <c r="B212" s="97" t="s">
        <v>273</v>
      </c>
      <c r="C212" s="97" t="s">
        <v>599</v>
      </c>
      <c r="D212" s="414" t="s">
        <v>102</v>
      </c>
      <c r="E212" s="230" t="s">
        <v>253</v>
      </c>
      <c r="F212" s="414" t="s">
        <v>902</v>
      </c>
      <c r="G212" s="127">
        <v>54.66</v>
      </c>
      <c r="H212" s="566" t="str">
        <f>VLOOKUP($F212,'Leistungswerte UHR Schulen'!$C$6:$F$38,3,FALSE)</f>
        <v>W6</v>
      </c>
      <c r="I212" s="567">
        <f>VLOOKUP(H212,Turnus!$D$9:$E$26,2,FALSE)</f>
        <v>226.35714285714283</v>
      </c>
      <c r="J212" s="127">
        <f>+G212*I212</f>
        <v>12372.681428571426</v>
      </c>
      <c r="K212" s="128">
        <f>VLOOKUP($F212,'Leistungswerte UHR Schulen'!$C$6:$F$38,4,FALSE)</f>
        <v>0</v>
      </c>
      <c r="L212" s="496" t="str">
        <f t="shared" si="97"/>
        <v/>
      </c>
      <c r="M212" s="129">
        <f>IF(ISERROR(J212/K212),0,J212/K212)</f>
        <v>0</v>
      </c>
      <c r="N212" s="547">
        <f t="shared" si="54"/>
        <v>0</v>
      </c>
      <c r="O212" s="130">
        <f>IF(ISERROR(G212/K212*N212),0,G212/K212*N212)</f>
        <v>0</v>
      </c>
      <c r="P212" s="131">
        <f t="shared" si="88"/>
        <v>0</v>
      </c>
      <c r="Q212" s="578">
        <f t="shared" si="94"/>
        <v>1</v>
      </c>
      <c r="R212" s="587"/>
      <c r="S212" s="482"/>
      <c r="T212" s="482"/>
      <c r="U212" s="482"/>
      <c r="V212" s="482"/>
      <c r="W212" s="482"/>
      <c r="X212" s="482"/>
      <c r="Y212" s="482"/>
      <c r="Z212" s="482"/>
      <c r="AA212" s="482"/>
      <c r="AB212" s="482"/>
      <c r="AC212" s="482"/>
      <c r="AD212" s="482"/>
      <c r="AE212" s="482"/>
      <c r="AF212" s="482"/>
      <c r="AG212" s="482"/>
      <c r="AH212" s="482"/>
      <c r="AI212" s="482"/>
      <c r="AJ212" s="482"/>
      <c r="AK212" s="482"/>
      <c r="AL212" s="482"/>
      <c r="AM212" s="482"/>
      <c r="AN212" s="482"/>
      <c r="AO212" s="482"/>
      <c r="AP212" s="482"/>
      <c r="AQ212" s="482"/>
      <c r="AR212" s="482"/>
      <c r="AS212" s="482"/>
      <c r="AT212" s="482"/>
      <c r="AU212" s="482"/>
      <c r="AV212" s="482"/>
      <c r="AW212" s="483"/>
      <c r="AX212" s="484">
        <f t="shared" si="98"/>
        <v>0</v>
      </c>
      <c r="AY212" s="501" t="str">
        <f t="shared" si="89"/>
        <v/>
      </c>
      <c r="AZ212" s="488">
        <f t="shared" si="90"/>
        <v>0</v>
      </c>
    </row>
    <row r="213" spans="1:52" s="57" customFormat="1" ht="24.9" customHeight="1" x14ac:dyDescent="0.25">
      <c r="A213" s="425" t="s">
        <v>363</v>
      </c>
      <c r="B213" s="97" t="s">
        <v>273</v>
      </c>
      <c r="C213" s="97" t="s">
        <v>600</v>
      </c>
      <c r="D213" s="145" t="s">
        <v>102</v>
      </c>
      <c r="E213" s="230" t="s">
        <v>253</v>
      </c>
      <c r="F213" s="414" t="s">
        <v>902</v>
      </c>
      <c r="G213" s="127">
        <v>38.119999999999997</v>
      </c>
      <c r="H213" s="566" t="str">
        <f>VLOOKUP($F213,'Leistungswerte UHR Schulen'!$C$6:$F$38,3,FALSE)</f>
        <v>W6</v>
      </c>
      <c r="I213" s="567">
        <f>VLOOKUP(H213,Turnus!$D$9:$E$26,2,FALSE)</f>
        <v>226.35714285714283</v>
      </c>
      <c r="J213" s="127">
        <f>+G213*I213</f>
        <v>8628.7342857142849</v>
      </c>
      <c r="K213" s="128">
        <f>VLOOKUP($F213,'Leistungswerte UHR Schulen'!$C$6:$F$38,4,FALSE)</f>
        <v>0</v>
      </c>
      <c r="L213" s="496" t="str">
        <f t="shared" si="97"/>
        <v/>
      </c>
      <c r="M213" s="129">
        <f>IF(ISERROR(J213/K213),0,J213/K213)</f>
        <v>0</v>
      </c>
      <c r="N213" s="547">
        <f t="shared" si="54"/>
        <v>0</v>
      </c>
      <c r="O213" s="130">
        <f>IF(ISERROR(G213/K213*N213),0,G213/K213*N213)</f>
        <v>0</v>
      </c>
      <c r="P213" s="131">
        <f t="shared" si="88"/>
        <v>0</v>
      </c>
      <c r="Q213" s="578">
        <f t="shared" si="94"/>
        <v>1</v>
      </c>
      <c r="R213" s="587"/>
      <c r="S213" s="482"/>
      <c r="T213" s="482"/>
      <c r="U213" s="482"/>
      <c r="V213" s="482"/>
      <c r="W213" s="482"/>
      <c r="X213" s="482"/>
      <c r="Y213" s="482"/>
      <c r="Z213" s="482"/>
      <c r="AA213" s="482"/>
      <c r="AB213" s="482"/>
      <c r="AC213" s="482"/>
      <c r="AD213" s="482"/>
      <c r="AE213" s="482"/>
      <c r="AF213" s="482"/>
      <c r="AG213" s="482"/>
      <c r="AH213" s="482"/>
      <c r="AI213" s="482"/>
      <c r="AJ213" s="482"/>
      <c r="AK213" s="482"/>
      <c r="AL213" s="482"/>
      <c r="AM213" s="482"/>
      <c r="AN213" s="482"/>
      <c r="AO213" s="482"/>
      <c r="AP213" s="482"/>
      <c r="AQ213" s="482"/>
      <c r="AR213" s="482"/>
      <c r="AS213" s="482"/>
      <c r="AT213" s="482"/>
      <c r="AU213" s="482"/>
      <c r="AV213" s="482"/>
      <c r="AW213" s="483"/>
      <c r="AX213" s="484">
        <f t="shared" si="98"/>
        <v>0</v>
      </c>
      <c r="AY213" s="501" t="str">
        <f t="shared" si="89"/>
        <v/>
      </c>
      <c r="AZ213" s="488">
        <f t="shared" si="90"/>
        <v>0</v>
      </c>
    </row>
    <row r="214" spans="1:52" s="57" customFormat="1" ht="24.9" customHeight="1" x14ac:dyDescent="0.25">
      <c r="A214" s="425" t="s">
        <v>363</v>
      </c>
      <c r="B214" s="97" t="s">
        <v>273</v>
      </c>
      <c r="C214" s="97" t="s">
        <v>589</v>
      </c>
      <c r="D214" s="230" t="s">
        <v>868</v>
      </c>
      <c r="E214" s="230" t="s">
        <v>869</v>
      </c>
      <c r="F214" s="414" t="s">
        <v>899</v>
      </c>
      <c r="G214" s="127">
        <v>13.19</v>
      </c>
      <c r="H214" s="566" t="str">
        <f>VLOOKUP($F214,'Leistungswerte UHR Schulen'!$C$6:$F$38,3,FALSE)</f>
        <v>W6</v>
      </c>
      <c r="I214" s="567">
        <f>VLOOKUP(H214,Turnus!$D$9:$E$26,2,FALSE)</f>
        <v>226.35714285714283</v>
      </c>
      <c r="J214" s="127">
        <f t="shared" si="79"/>
        <v>2985.650714285714</v>
      </c>
      <c r="K214" s="128">
        <f>VLOOKUP($F214,'Leistungswerte UHR Schulen'!$C$6:$F$38,4,FALSE)</f>
        <v>0</v>
      </c>
      <c r="L214" s="496" t="str">
        <f t="shared" si="97"/>
        <v/>
      </c>
      <c r="M214" s="129">
        <f t="shared" si="80"/>
        <v>0</v>
      </c>
      <c r="N214" s="547">
        <f t="shared" si="54"/>
        <v>0</v>
      </c>
      <c r="O214" s="130">
        <f t="shared" si="81"/>
        <v>0</v>
      </c>
      <c r="P214" s="131">
        <f t="shared" si="88"/>
        <v>0</v>
      </c>
      <c r="Q214" s="578">
        <f t="shared" si="94"/>
        <v>1</v>
      </c>
      <c r="R214" s="587"/>
      <c r="S214" s="482"/>
      <c r="T214" s="482"/>
      <c r="U214" s="482"/>
      <c r="V214" s="482"/>
      <c r="W214" s="482"/>
      <c r="X214" s="482"/>
      <c r="Y214" s="482"/>
      <c r="Z214" s="482"/>
      <c r="AA214" s="482"/>
      <c r="AB214" s="482"/>
      <c r="AC214" s="482"/>
      <c r="AD214" s="482"/>
      <c r="AE214" s="482"/>
      <c r="AF214" s="482"/>
      <c r="AG214" s="482"/>
      <c r="AH214" s="482"/>
      <c r="AI214" s="482"/>
      <c r="AJ214" s="482"/>
      <c r="AK214" s="482"/>
      <c r="AL214" s="482"/>
      <c r="AM214" s="482"/>
      <c r="AN214" s="482"/>
      <c r="AO214" s="482"/>
      <c r="AP214" s="482"/>
      <c r="AQ214" s="482"/>
      <c r="AR214" s="482"/>
      <c r="AS214" s="482"/>
      <c r="AT214" s="482"/>
      <c r="AU214" s="482"/>
      <c r="AV214" s="482"/>
      <c r="AW214" s="483"/>
      <c r="AX214" s="484">
        <f t="shared" si="98"/>
        <v>0</v>
      </c>
      <c r="AY214" s="501" t="str">
        <f t="shared" si="89"/>
        <v/>
      </c>
      <c r="AZ214" s="488">
        <f t="shared" si="90"/>
        <v>0</v>
      </c>
    </row>
    <row r="215" spans="1:52" s="57" customFormat="1" ht="24.9" customHeight="1" x14ac:dyDescent="0.25">
      <c r="A215" s="425" t="s">
        <v>363</v>
      </c>
      <c r="B215" s="97" t="s">
        <v>273</v>
      </c>
      <c r="C215" s="97" t="s">
        <v>590</v>
      </c>
      <c r="D215" s="230" t="s">
        <v>868</v>
      </c>
      <c r="E215" s="230" t="s">
        <v>869</v>
      </c>
      <c r="F215" s="414" t="s">
        <v>899</v>
      </c>
      <c r="G215" s="127">
        <v>13.19</v>
      </c>
      <c r="H215" s="566" t="str">
        <f>VLOOKUP($F215,'Leistungswerte UHR Schulen'!$C$6:$F$38,3,FALSE)</f>
        <v>W6</v>
      </c>
      <c r="I215" s="567">
        <f>VLOOKUP(H215,Turnus!$D$9:$E$26,2,FALSE)</f>
        <v>226.35714285714283</v>
      </c>
      <c r="J215" s="127">
        <f t="shared" si="79"/>
        <v>2985.650714285714</v>
      </c>
      <c r="K215" s="128">
        <f>VLOOKUP($F215,'Leistungswerte UHR Schulen'!$C$6:$F$38,4,FALSE)</f>
        <v>0</v>
      </c>
      <c r="L215" s="496" t="str">
        <f t="shared" si="97"/>
        <v/>
      </c>
      <c r="M215" s="129">
        <f t="shared" si="80"/>
        <v>0</v>
      </c>
      <c r="N215" s="547">
        <f t="shared" si="54"/>
        <v>0</v>
      </c>
      <c r="O215" s="130">
        <f t="shared" si="81"/>
        <v>0</v>
      </c>
      <c r="P215" s="131">
        <f t="shared" si="88"/>
        <v>0</v>
      </c>
      <c r="Q215" s="578">
        <f t="shared" si="94"/>
        <v>1</v>
      </c>
      <c r="R215" s="587"/>
      <c r="S215" s="482"/>
      <c r="T215" s="482"/>
      <c r="U215" s="482"/>
      <c r="V215" s="482"/>
      <c r="W215" s="482"/>
      <c r="X215" s="482"/>
      <c r="Y215" s="482"/>
      <c r="Z215" s="482"/>
      <c r="AA215" s="482"/>
      <c r="AB215" s="482"/>
      <c r="AC215" s="482"/>
      <c r="AD215" s="482"/>
      <c r="AE215" s="482"/>
      <c r="AF215" s="482"/>
      <c r="AG215" s="482"/>
      <c r="AH215" s="482"/>
      <c r="AI215" s="482"/>
      <c r="AJ215" s="482"/>
      <c r="AK215" s="482"/>
      <c r="AL215" s="482"/>
      <c r="AM215" s="482"/>
      <c r="AN215" s="482"/>
      <c r="AO215" s="482"/>
      <c r="AP215" s="482"/>
      <c r="AQ215" s="482"/>
      <c r="AR215" s="482"/>
      <c r="AS215" s="482"/>
      <c r="AT215" s="482"/>
      <c r="AU215" s="482"/>
      <c r="AV215" s="482"/>
      <c r="AW215" s="483"/>
      <c r="AX215" s="484">
        <f t="shared" si="98"/>
        <v>0</v>
      </c>
      <c r="AY215" s="501" t="str">
        <f t="shared" si="89"/>
        <v/>
      </c>
      <c r="AZ215" s="488">
        <f t="shared" si="90"/>
        <v>0</v>
      </c>
    </row>
    <row r="216" spans="1:52" s="57" customFormat="1" ht="24.9" customHeight="1" x14ac:dyDescent="0.25">
      <c r="A216" s="425" t="s">
        <v>363</v>
      </c>
      <c r="B216" s="97" t="s">
        <v>273</v>
      </c>
      <c r="C216" s="97" t="s">
        <v>591</v>
      </c>
      <c r="D216" s="145" t="s">
        <v>514</v>
      </c>
      <c r="E216" s="230" t="s">
        <v>253</v>
      </c>
      <c r="F216" s="414" t="s">
        <v>898</v>
      </c>
      <c r="G216" s="127">
        <v>27</v>
      </c>
      <c r="H216" s="566" t="str">
        <f>VLOOKUP($F216,'Leistungswerte UHR Schulen'!$C$6:$F$38,3,FALSE)</f>
        <v>W6</v>
      </c>
      <c r="I216" s="567">
        <f>VLOOKUP(H216,Turnus!$D$9:$E$26,2,FALSE)</f>
        <v>226.35714285714283</v>
      </c>
      <c r="J216" s="127">
        <f t="shared" si="79"/>
        <v>6111.6428571428569</v>
      </c>
      <c r="K216" s="128">
        <f>VLOOKUP($F216,'Leistungswerte UHR Schulen'!$C$6:$F$38,4,FALSE)</f>
        <v>0</v>
      </c>
      <c r="L216" s="496" t="str">
        <f t="shared" si="97"/>
        <v/>
      </c>
      <c r="M216" s="129">
        <f t="shared" si="80"/>
        <v>0</v>
      </c>
      <c r="N216" s="547">
        <f t="shared" si="54"/>
        <v>0</v>
      </c>
      <c r="O216" s="130">
        <f t="shared" si="81"/>
        <v>0</v>
      </c>
      <c r="P216" s="131">
        <f t="shared" si="88"/>
        <v>0</v>
      </c>
      <c r="Q216" s="578">
        <f t="shared" si="94"/>
        <v>1</v>
      </c>
      <c r="R216" s="587"/>
      <c r="S216" s="482"/>
      <c r="T216" s="482"/>
      <c r="U216" s="482"/>
      <c r="V216" s="482"/>
      <c r="W216" s="482"/>
      <c r="X216" s="482"/>
      <c r="Y216" s="482"/>
      <c r="Z216" s="482"/>
      <c r="AA216" s="482"/>
      <c r="AB216" s="482"/>
      <c r="AC216" s="482"/>
      <c r="AD216" s="482"/>
      <c r="AE216" s="482"/>
      <c r="AF216" s="482"/>
      <c r="AG216" s="482"/>
      <c r="AH216" s="482"/>
      <c r="AI216" s="482"/>
      <c r="AJ216" s="482"/>
      <c r="AK216" s="482"/>
      <c r="AL216" s="482"/>
      <c r="AM216" s="482"/>
      <c r="AN216" s="482"/>
      <c r="AO216" s="482"/>
      <c r="AP216" s="482"/>
      <c r="AQ216" s="482"/>
      <c r="AR216" s="482"/>
      <c r="AS216" s="482"/>
      <c r="AT216" s="482"/>
      <c r="AU216" s="482"/>
      <c r="AV216" s="482"/>
      <c r="AW216" s="483"/>
      <c r="AX216" s="484">
        <f t="shared" si="98"/>
        <v>0</v>
      </c>
      <c r="AY216" s="501" t="str">
        <f t="shared" si="89"/>
        <v/>
      </c>
      <c r="AZ216" s="488">
        <f t="shared" si="90"/>
        <v>0</v>
      </c>
    </row>
    <row r="217" spans="1:52" s="57" customFormat="1" ht="24.9" customHeight="1" x14ac:dyDescent="0.25">
      <c r="A217" s="425" t="s">
        <v>363</v>
      </c>
      <c r="B217" s="97" t="s">
        <v>273</v>
      </c>
      <c r="C217" s="97" t="s">
        <v>592</v>
      </c>
      <c r="D217" s="145" t="s">
        <v>516</v>
      </c>
      <c r="E217" s="230" t="s">
        <v>171</v>
      </c>
      <c r="F217" s="414" t="s">
        <v>899</v>
      </c>
      <c r="G217" s="127">
        <v>21.65</v>
      </c>
      <c r="H217" s="566" t="str">
        <f>VLOOKUP($F217,'Leistungswerte UHR Schulen'!$C$6:$F$38,3,FALSE)</f>
        <v>W6</v>
      </c>
      <c r="I217" s="567">
        <f>VLOOKUP(H217,Turnus!$D$9:$E$26,2,FALSE)</f>
        <v>226.35714285714283</v>
      </c>
      <c r="J217" s="127">
        <f t="shared" si="79"/>
        <v>4900.6321428571418</v>
      </c>
      <c r="K217" s="128">
        <f>VLOOKUP($F217,'Leistungswerte UHR Schulen'!$C$6:$F$38,4,FALSE)</f>
        <v>0</v>
      </c>
      <c r="L217" s="496" t="str">
        <f t="shared" si="97"/>
        <v/>
      </c>
      <c r="M217" s="129">
        <f t="shared" si="80"/>
        <v>0</v>
      </c>
      <c r="N217" s="547">
        <f t="shared" si="54"/>
        <v>0</v>
      </c>
      <c r="O217" s="130">
        <f t="shared" si="81"/>
        <v>0</v>
      </c>
      <c r="P217" s="131">
        <f t="shared" si="88"/>
        <v>0</v>
      </c>
      <c r="Q217" s="578">
        <f t="shared" si="94"/>
        <v>1</v>
      </c>
      <c r="R217" s="587"/>
      <c r="S217" s="482"/>
      <c r="T217" s="482"/>
      <c r="U217" s="482"/>
      <c r="V217" s="482"/>
      <c r="W217" s="482"/>
      <c r="X217" s="482"/>
      <c r="Y217" s="482"/>
      <c r="Z217" s="482"/>
      <c r="AA217" s="482"/>
      <c r="AB217" s="482"/>
      <c r="AC217" s="482"/>
      <c r="AD217" s="482"/>
      <c r="AE217" s="482"/>
      <c r="AF217" s="482"/>
      <c r="AG217" s="482"/>
      <c r="AH217" s="482"/>
      <c r="AI217" s="482"/>
      <c r="AJ217" s="482"/>
      <c r="AK217" s="482"/>
      <c r="AL217" s="482"/>
      <c r="AM217" s="482"/>
      <c r="AN217" s="482"/>
      <c r="AO217" s="482"/>
      <c r="AP217" s="482"/>
      <c r="AQ217" s="482"/>
      <c r="AR217" s="482"/>
      <c r="AS217" s="482"/>
      <c r="AT217" s="482"/>
      <c r="AU217" s="482"/>
      <c r="AV217" s="482"/>
      <c r="AW217" s="483"/>
      <c r="AX217" s="484">
        <f t="shared" si="98"/>
        <v>0</v>
      </c>
      <c r="AY217" s="501" t="str">
        <f t="shared" si="89"/>
        <v/>
      </c>
      <c r="AZ217" s="488">
        <f t="shared" si="90"/>
        <v>0</v>
      </c>
    </row>
    <row r="218" spans="1:52" s="57" customFormat="1" ht="24.9" customHeight="1" x14ac:dyDescent="0.25">
      <c r="A218" s="425" t="s">
        <v>363</v>
      </c>
      <c r="B218" s="97" t="s">
        <v>273</v>
      </c>
      <c r="C218" s="97" t="s">
        <v>593</v>
      </c>
      <c r="D218" s="145" t="s">
        <v>244</v>
      </c>
      <c r="E218" s="230" t="s">
        <v>171</v>
      </c>
      <c r="F218" s="414" t="s">
        <v>673</v>
      </c>
      <c r="G218" s="127">
        <v>1.85</v>
      </c>
      <c r="H218" s="566" t="str">
        <f>VLOOKUP($F218,'Leistungswerte UHR Schulen'!$C$6:$F$38,3,FALSE)</f>
        <v>W6</v>
      </c>
      <c r="I218" s="567">
        <f>VLOOKUP(H218,Turnus!$D$9:$E$26,2,FALSE)</f>
        <v>226.35714285714283</v>
      </c>
      <c r="J218" s="127">
        <f t="shared" si="79"/>
        <v>418.76071428571424</v>
      </c>
      <c r="K218" s="128">
        <f>VLOOKUP($F218,'Leistungswerte UHR Schulen'!$C$6:$F$38,4,FALSE)</f>
        <v>0</v>
      </c>
      <c r="L218" s="496" t="str">
        <f t="shared" si="97"/>
        <v/>
      </c>
      <c r="M218" s="129">
        <f t="shared" si="80"/>
        <v>0</v>
      </c>
      <c r="N218" s="547">
        <f t="shared" si="54"/>
        <v>0</v>
      </c>
      <c r="O218" s="130">
        <f t="shared" si="81"/>
        <v>0</v>
      </c>
      <c r="P218" s="131">
        <f t="shared" si="88"/>
        <v>0</v>
      </c>
      <c r="Q218" s="578">
        <f t="shared" si="94"/>
        <v>1</v>
      </c>
      <c r="R218" s="587"/>
      <c r="S218" s="482"/>
      <c r="T218" s="482"/>
      <c r="U218" s="482"/>
      <c r="V218" s="482"/>
      <c r="W218" s="482"/>
      <c r="X218" s="482"/>
      <c r="Y218" s="482"/>
      <c r="Z218" s="482"/>
      <c r="AA218" s="482"/>
      <c r="AB218" s="482"/>
      <c r="AC218" s="482"/>
      <c r="AD218" s="482"/>
      <c r="AE218" s="482"/>
      <c r="AF218" s="482"/>
      <c r="AG218" s="482"/>
      <c r="AH218" s="482"/>
      <c r="AI218" s="482"/>
      <c r="AJ218" s="482"/>
      <c r="AK218" s="482"/>
      <c r="AL218" s="482"/>
      <c r="AM218" s="482"/>
      <c r="AN218" s="482"/>
      <c r="AO218" s="482"/>
      <c r="AP218" s="482"/>
      <c r="AQ218" s="482"/>
      <c r="AR218" s="482"/>
      <c r="AS218" s="482"/>
      <c r="AT218" s="482"/>
      <c r="AU218" s="482"/>
      <c r="AV218" s="482"/>
      <c r="AW218" s="483"/>
      <c r="AX218" s="484">
        <f t="shared" si="98"/>
        <v>0</v>
      </c>
      <c r="AY218" s="501" t="str">
        <f t="shared" si="89"/>
        <v/>
      </c>
      <c r="AZ218" s="488">
        <f t="shared" si="90"/>
        <v>0</v>
      </c>
    </row>
    <row r="219" spans="1:52" s="57" customFormat="1" ht="24.9" customHeight="1" x14ac:dyDescent="0.25">
      <c r="A219" s="425" t="s">
        <v>363</v>
      </c>
      <c r="B219" s="97" t="s">
        <v>273</v>
      </c>
      <c r="C219" s="97" t="s">
        <v>594</v>
      </c>
      <c r="D219" s="145" t="s">
        <v>244</v>
      </c>
      <c r="E219" s="230" t="s">
        <v>171</v>
      </c>
      <c r="F219" s="414" t="s">
        <v>673</v>
      </c>
      <c r="G219" s="127">
        <v>1.85</v>
      </c>
      <c r="H219" s="566" t="str">
        <f>VLOOKUP($F219,'Leistungswerte UHR Schulen'!$C$6:$F$38,3,FALSE)</f>
        <v>W6</v>
      </c>
      <c r="I219" s="567">
        <f>VLOOKUP(H219,Turnus!$D$9:$E$26,2,FALSE)</f>
        <v>226.35714285714283</v>
      </c>
      <c r="J219" s="127">
        <f t="shared" si="79"/>
        <v>418.76071428571424</v>
      </c>
      <c r="K219" s="128">
        <f>VLOOKUP($F219,'Leistungswerte UHR Schulen'!$C$6:$F$38,4,FALSE)</f>
        <v>0</v>
      </c>
      <c r="L219" s="496" t="str">
        <f t="shared" si="97"/>
        <v/>
      </c>
      <c r="M219" s="129">
        <f t="shared" si="80"/>
        <v>0</v>
      </c>
      <c r="N219" s="547">
        <f t="shared" si="54"/>
        <v>0</v>
      </c>
      <c r="O219" s="130">
        <f t="shared" si="81"/>
        <v>0</v>
      </c>
      <c r="P219" s="131">
        <f t="shared" si="88"/>
        <v>0</v>
      </c>
      <c r="Q219" s="578">
        <f t="shared" si="94"/>
        <v>1</v>
      </c>
      <c r="R219" s="587"/>
      <c r="S219" s="482"/>
      <c r="T219" s="482"/>
      <c r="U219" s="482"/>
      <c r="V219" s="482"/>
      <c r="W219" s="482"/>
      <c r="X219" s="482"/>
      <c r="Y219" s="482"/>
      <c r="Z219" s="482"/>
      <c r="AA219" s="482"/>
      <c r="AB219" s="482"/>
      <c r="AC219" s="482"/>
      <c r="AD219" s="482"/>
      <c r="AE219" s="482"/>
      <c r="AF219" s="482"/>
      <c r="AG219" s="482"/>
      <c r="AH219" s="482"/>
      <c r="AI219" s="482"/>
      <c r="AJ219" s="482"/>
      <c r="AK219" s="482"/>
      <c r="AL219" s="482"/>
      <c r="AM219" s="482"/>
      <c r="AN219" s="482"/>
      <c r="AO219" s="482"/>
      <c r="AP219" s="482"/>
      <c r="AQ219" s="482"/>
      <c r="AR219" s="482"/>
      <c r="AS219" s="482"/>
      <c r="AT219" s="482"/>
      <c r="AU219" s="482"/>
      <c r="AV219" s="482"/>
      <c r="AW219" s="483"/>
      <c r="AX219" s="484">
        <f t="shared" si="98"/>
        <v>0</v>
      </c>
      <c r="AY219" s="501" t="str">
        <f t="shared" si="89"/>
        <v/>
      </c>
      <c r="AZ219" s="488">
        <f t="shared" si="90"/>
        <v>0</v>
      </c>
    </row>
    <row r="220" spans="1:52" s="57" customFormat="1" ht="22.5" customHeight="1" x14ac:dyDescent="0.25">
      <c r="A220" s="425" t="s">
        <v>363</v>
      </c>
      <c r="B220" s="97" t="s">
        <v>273</v>
      </c>
      <c r="C220" s="97" t="s">
        <v>595</v>
      </c>
      <c r="D220" s="230" t="s">
        <v>514</v>
      </c>
      <c r="E220" s="230" t="s">
        <v>253</v>
      </c>
      <c r="F220" s="414" t="s">
        <v>898</v>
      </c>
      <c r="G220" s="127">
        <v>28.01</v>
      </c>
      <c r="H220" s="566" t="str">
        <f>VLOOKUP($F220,'Leistungswerte UHR Schulen'!$C$6:$F$38,3,FALSE)</f>
        <v>W6</v>
      </c>
      <c r="I220" s="567">
        <f>VLOOKUP(H220,Turnus!$D$9:$E$26,2,FALSE)</f>
        <v>226.35714285714283</v>
      </c>
      <c r="J220" s="127">
        <f t="shared" si="79"/>
        <v>6340.2635714285707</v>
      </c>
      <c r="K220" s="128">
        <f>VLOOKUP($F220,'Leistungswerte UHR Schulen'!$C$6:$F$38,4,FALSE)</f>
        <v>0</v>
      </c>
      <c r="L220" s="496" t="str">
        <f t="shared" si="97"/>
        <v/>
      </c>
      <c r="M220" s="129">
        <f t="shared" si="80"/>
        <v>0</v>
      </c>
      <c r="N220" s="547">
        <f t="shared" si="54"/>
        <v>0</v>
      </c>
      <c r="O220" s="130">
        <f t="shared" si="81"/>
        <v>0</v>
      </c>
      <c r="P220" s="131">
        <f t="shared" si="88"/>
        <v>0</v>
      </c>
      <c r="Q220" s="578">
        <f t="shared" si="94"/>
        <v>1</v>
      </c>
      <c r="R220" s="587"/>
      <c r="S220" s="482"/>
      <c r="T220" s="482"/>
      <c r="U220" s="482"/>
      <c r="V220" s="482"/>
      <c r="W220" s="482"/>
      <c r="X220" s="482"/>
      <c r="Y220" s="482"/>
      <c r="Z220" s="482"/>
      <c r="AA220" s="482"/>
      <c r="AB220" s="482"/>
      <c r="AC220" s="482"/>
      <c r="AD220" s="482"/>
      <c r="AE220" s="482"/>
      <c r="AF220" s="482"/>
      <c r="AG220" s="482"/>
      <c r="AH220" s="482"/>
      <c r="AI220" s="482"/>
      <c r="AJ220" s="482"/>
      <c r="AK220" s="482"/>
      <c r="AL220" s="482"/>
      <c r="AM220" s="482"/>
      <c r="AN220" s="482"/>
      <c r="AO220" s="482"/>
      <c r="AP220" s="482"/>
      <c r="AQ220" s="482"/>
      <c r="AR220" s="482"/>
      <c r="AS220" s="482"/>
      <c r="AT220" s="482"/>
      <c r="AU220" s="482"/>
      <c r="AV220" s="482"/>
      <c r="AW220" s="483"/>
      <c r="AX220" s="484">
        <f t="shared" si="98"/>
        <v>0</v>
      </c>
      <c r="AY220" s="501" t="str">
        <f t="shared" si="89"/>
        <v/>
      </c>
      <c r="AZ220" s="488">
        <f t="shared" si="90"/>
        <v>0</v>
      </c>
    </row>
    <row r="221" spans="1:52" s="57" customFormat="1" ht="24.9" customHeight="1" x14ac:dyDescent="0.25">
      <c r="A221" s="425" t="s">
        <v>363</v>
      </c>
      <c r="B221" s="97" t="s">
        <v>273</v>
      </c>
      <c r="C221" s="97" t="s">
        <v>601</v>
      </c>
      <c r="D221" s="145" t="s">
        <v>102</v>
      </c>
      <c r="E221" s="230" t="s">
        <v>253</v>
      </c>
      <c r="F221" s="414" t="s">
        <v>902</v>
      </c>
      <c r="G221" s="127">
        <v>42.16</v>
      </c>
      <c r="H221" s="566" t="str">
        <f>VLOOKUP($F221,'Leistungswerte UHR Schulen'!$C$6:$F$38,3,FALSE)</f>
        <v>W6</v>
      </c>
      <c r="I221" s="567">
        <f>VLOOKUP(H221,Turnus!$D$9:$E$26,2,FALSE)</f>
        <v>226.35714285714283</v>
      </c>
      <c r="J221" s="127">
        <f t="shared" si="79"/>
        <v>9543.2171428571419</v>
      </c>
      <c r="K221" s="128">
        <f>VLOOKUP($F221,'Leistungswerte UHR Schulen'!$C$6:$F$38,4,FALSE)</f>
        <v>0</v>
      </c>
      <c r="L221" s="496" t="str">
        <f t="shared" si="97"/>
        <v/>
      </c>
      <c r="M221" s="129">
        <f t="shared" si="80"/>
        <v>0</v>
      </c>
      <c r="N221" s="547">
        <f t="shared" si="54"/>
        <v>0</v>
      </c>
      <c r="O221" s="130">
        <f t="shared" si="81"/>
        <v>0</v>
      </c>
      <c r="P221" s="131">
        <f t="shared" si="88"/>
        <v>0</v>
      </c>
      <c r="Q221" s="578">
        <f t="shared" si="94"/>
        <v>1</v>
      </c>
      <c r="R221" s="587"/>
      <c r="S221" s="482"/>
      <c r="T221" s="482"/>
      <c r="U221" s="482"/>
      <c r="V221" s="482"/>
      <c r="W221" s="482"/>
      <c r="X221" s="482"/>
      <c r="Y221" s="482"/>
      <c r="Z221" s="482"/>
      <c r="AA221" s="482"/>
      <c r="AB221" s="482"/>
      <c r="AC221" s="482"/>
      <c r="AD221" s="482"/>
      <c r="AE221" s="482"/>
      <c r="AF221" s="482"/>
      <c r="AG221" s="482"/>
      <c r="AH221" s="482"/>
      <c r="AI221" s="482"/>
      <c r="AJ221" s="482"/>
      <c r="AK221" s="482"/>
      <c r="AL221" s="482"/>
      <c r="AM221" s="482"/>
      <c r="AN221" s="482"/>
      <c r="AO221" s="482"/>
      <c r="AP221" s="482"/>
      <c r="AQ221" s="482"/>
      <c r="AR221" s="482"/>
      <c r="AS221" s="482"/>
      <c r="AT221" s="482"/>
      <c r="AU221" s="482"/>
      <c r="AV221" s="482"/>
      <c r="AW221" s="483"/>
      <c r="AX221" s="484">
        <f t="shared" si="98"/>
        <v>0</v>
      </c>
      <c r="AY221" s="501" t="str">
        <f t="shared" si="89"/>
        <v/>
      </c>
      <c r="AZ221" s="488">
        <f t="shared" si="90"/>
        <v>0</v>
      </c>
    </row>
    <row r="222" spans="1:52" s="57" customFormat="1" ht="24.9" customHeight="1" x14ac:dyDescent="0.25">
      <c r="A222" s="425" t="s">
        <v>361</v>
      </c>
      <c r="B222" s="97" t="s">
        <v>273</v>
      </c>
      <c r="C222" s="97" t="s">
        <v>604</v>
      </c>
      <c r="D222" s="145" t="s">
        <v>264</v>
      </c>
      <c r="E222" s="415" t="s">
        <v>870</v>
      </c>
      <c r="F222" s="414" t="s">
        <v>690</v>
      </c>
      <c r="G222" s="127">
        <v>37.76</v>
      </c>
      <c r="H222" s="97" t="str">
        <f>VLOOKUP($F222,'Leistungswerte UHR Schulen'!$C$6:$F$38,3,FALSE)</f>
        <v>J2</v>
      </c>
      <c r="I222" s="328">
        <f>VLOOKUP(H222,Turnus!$D$9:$E$26,2,FALSE)</f>
        <v>2</v>
      </c>
      <c r="J222" s="127">
        <f t="shared" si="79"/>
        <v>75.52</v>
      </c>
      <c r="K222" s="128">
        <f>VLOOKUP($F222,'Leistungswerte UHR Schulen'!$C$6:$F$38,4,FALSE)</f>
        <v>0</v>
      </c>
      <c r="L222" s="496" t="str">
        <f t="shared" si="97"/>
        <v/>
      </c>
      <c r="M222" s="129">
        <f t="shared" si="80"/>
        <v>0</v>
      </c>
      <c r="N222" s="547">
        <f t="shared" si="82"/>
        <v>0</v>
      </c>
      <c r="O222" s="130">
        <f t="shared" si="81"/>
        <v>0</v>
      </c>
      <c r="P222" s="131">
        <f t="shared" si="88"/>
        <v>0</v>
      </c>
      <c r="Q222" s="578">
        <f t="shared" si="94"/>
        <v>1</v>
      </c>
      <c r="R222" s="587"/>
      <c r="S222" s="482"/>
      <c r="T222" s="482"/>
      <c r="U222" s="482"/>
      <c r="V222" s="482"/>
      <c r="W222" s="482"/>
      <c r="X222" s="482"/>
      <c r="Y222" s="482"/>
      <c r="Z222" s="482"/>
      <c r="AA222" s="482"/>
      <c r="AB222" s="482"/>
      <c r="AC222" s="482"/>
      <c r="AD222" s="482"/>
      <c r="AE222" s="482"/>
      <c r="AF222" s="482"/>
      <c r="AG222" s="482"/>
      <c r="AH222" s="482"/>
      <c r="AI222" s="482"/>
      <c r="AJ222" s="482"/>
      <c r="AK222" s="482"/>
      <c r="AL222" s="482"/>
      <c r="AM222" s="482"/>
      <c r="AN222" s="482"/>
      <c r="AO222" s="482"/>
      <c r="AP222" s="482"/>
      <c r="AQ222" s="482"/>
      <c r="AR222" s="482"/>
      <c r="AS222" s="482"/>
      <c r="AT222" s="482"/>
      <c r="AU222" s="482"/>
      <c r="AV222" s="482"/>
      <c r="AW222" s="483"/>
      <c r="AX222" s="484">
        <f t="shared" si="98"/>
        <v>0</v>
      </c>
      <c r="AY222" s="501" t="str">
        <f t="shared" si="89"/>
        <v/>
      </c>
      <c r="AZ222" s="488">
        <f t="shared" si="90"/>
        <v>0</v>
      </c>
    </row>
    <row r="223" spans="1:52" s="57" customFormat="1" ht="24.9" customHeight="1" x14ac:dyDescent="0.25">
      <c r="A223" s="425" t="s">
        <v>361</v>
      </c>
      <c r="B223" s="97" t="s">
        <v>273</v>
      </c>
      <c r="C223" s="97" t="s">
        <v>727</v>
      </c>
      <c r="D223" s="145" t="s">
        <v>728</v>
      </c>
      <c r="E223" s="415" t="s">
        <v>253</v>
      </c>
      <c r="F223" s="414" t="s">
        <v>690</v>
      </c>
      <c r="G223" s="127">
        <v>41.63</v>
      </c>
      <c r="H223" s="97" t="str">
        <f>VLOOKUP($F223,'Leistungswerte UHR Schulen'!$C$6:$F$38,3,FALSE)</f>
        <v>J2</v>
      </c>
      <c r="I223" s="328">
        <f>VLOOKUP(H223,Turnus!$D$9:$E$26,2,FALSE)</f>
        <v>2</v>
      </c>
      <c r="J223" s="127">
        <f t="shared" ref="J223" si="99">+G223*I223</f>
        <v>83.26</v>
      </c>
      <c r="K223" s="128">
        <f>VLOOKUP($F223,'Leistungswerte UHR Schulen'!$C$6:$F$38,4,FALSE)</f>
        <v>0</v>
      </c>
      <c r="L223" s="496" t="str">
        <f t="shared" si="97"/>
        <v/>
      </c>
      <c r="M223" s="129">
        <f t="shared" ref="M223" si="100">IF(ISERROR(J223/K223),0,J223/K223)</f>
        <v>0</v>
      </c>
      <c r="N223" s="547">
        <f t="shared" si="82"/>
        <v>0</v>
      </c>
      <c r="O223" s="130">
        <f t="shared" ref="O223" si="101">IF(ISERROR(G223/K223*N223),0,G223/K223*N223)</f>
        <v>0</v>
      </c>
      <c r="P223" s="131">
        <f t="shared" ref="P223" si="102">+M223*N223</f>
        <v>0</v>
      </c>
      <c r="Q223" s="578">
        <f t="shared" si="94"/>
        <v>1</v>
      </c>
      <c r="R223" s="587"/>
      <c r="S223" s="482"/>
      <c r="T223" s="482"/>
      <c r="U223" s="482"/>
      <c r="V223" s="482"/>
      <c r="W223" s="482"/>
      <c r="X223" s="482"/>
      <c r="Y223" s="482"/>
      <c r="Z223" s="482"/>
      <c r="AA223" s="482"/>
      <c r="AB223" s="482"/>
      <c r="AC223" s="482"/>
      <c r="AD223" s="482"/>
      <c r="AE223" s="482"/>
      <c r="AF223" s="482"/>
      <c r="AG223" s="482"/>
      <c r="AH223" s="482"/>
      <c r="AI223" s="482"/>
      <c r="AJ223" s="482"/>
      <c r="AK223" s="482"/>
      <c r="AL223" s="482"/>
      <c r="AM223" s="482"/>
      <c r="AN223" s="482"/>
      <c r="AO223" s="482"/>
      <c r="AP223" s="482"/>
      <c r="AQ223" s="482"/>
      <c r="AR223" s="482"/>
      <c r="AS223" s="482"/>
      <c r="AT223" s="482"/>
      <c r="AU223" s="482"/>
      <c r="AV223" s="482"/>
      <c r="AW223" s="483"/>
      <c r="AX223" s="484">
        <f t="shared" si="98"/>
        <v>0</v>
      </c>
      <c r="AY223" s="501" t="str">
        <f t="shared" si="89"/>
        <v/>
      </c>
      <c r="AZ223" s="488">
        <f t="shared" si="90"/>
        <v>0</v>
      </c>
    </row>
    <row r="224" spans="1:52" s="57" customFormat="1" ht="24.9" customHeight="1" x14ac:dyDescent="0.25">
      <c r="A224" s="425" t="s">
        <v>361</v>
      </c>
      <c r="B224" s="97" t="s">
        <v>273</v>
      </c>
      <c r="C224" s="97" t="s">
        <v>729</v>
      </c>
      <c r="D224" s="145" t="s">
        <v>701</v>
      </c>
      <c r="E224" s="415" t="s">
        <v>870</v>
      </c>
      <c r="F224" s="414" t="s">
        <v>708</v>
      </c>
      <c r="G224" s="127">
        <v>12.59</v>
      </c>
      <c r="H224" s="97" t="str">
        <f>VLOOKUP($F224,'Leistungswerte UHR Schulen'!$C$6:$F$38,3,FALSE)</f>
        <v>kR</v>
      </c>
      <c r="I224" s="328">
        <f>VLOOKUP(H224,Turnus!$D$9:$E$26,2,FALSE)</f>
        <v>0</v>
      </c>
      <c r="J224" s="127">
        <f t="shared" ref="J224" si="103">+G224*I224</f>
        <v>0</v>
      </c>
      <c r="K224" s="128">
        <f>VLOOKUP($F224,'Leistungswerte UHR Schulen'!$C$6:$F$38,4,FALSE)</f>
        <v>0</v>
      </c>
      <c r="L224" s="496" t="str">
        <f t="shared" si="97"/>
        <v/>
      </c>
      <c r="M224" s="129">
        <f t="shared" ref="M224" si="104">IF(ISERROR(J224/K224),0,J224/K224)</f>
        <v>0</v>
      </c>
      <c r="N224" s="547">
        <f t="shared" si="82"/>
        <v>0</v>
      </c>
      <c r="O224" s="130">
        <f t="shared" ref="O224" si="105">IF(ISERROR(G224/K224*N224),0,G224/K224*N224)</f>
        <v>0</v>
      </c>
      <c r="P224" s="131">
        <f t="shared" ref="P224" si="106">+M224*N224</f>
        <v>0</v>
      </c>
      <c r="Q224" s="578">
        <f t="shared" si="94"/>
        <v>1</v>
      </c>
      <c r="R224" s="587"/>
      <c r="S224" s="482"/>
      <c r="T224" s="482"/>
      <c r="U224" s="482"/>
      <c r="V224" s="482"/>
      <c r="W224" s="482"/>
      <c r="X224" s="482"/>
      <c r="Y224" s="482"/>
      <c r="Z224" s="482"/>
      <c r="AA224" s="482"/>
      <c r="AB224" s="482"/>
      <c r="AC224" s="482"/>
      <c r="AD224" s="482"/>
      <c r="AE224" s="482"/>
      <c r="AF224" s="482"/>
      <c r="AG224" s="482"/>
      <c r="AH224" s="482"/>
      <c r="AI224" s="482"/>
      <c r="AJ224" s="482"/>
      <c r="AK224" s="482"/>
      <c r="AL224" s="482"/>
      <c r="AM224" s="482"/>
      <c r="AN224" s="482"/>
      <c r="AO224" s="482"/>
      <c r="AP224" s="482"/>
      <c r="AQ224" s="482"/>
      <c r="AR224" s="482"/>
      <c r="AS224" s="482"/>
      <c r="AT224" s="482"/>
      <c r="AU224" s="482"/>
      <c r="AV224" s="482"/>
      <c r="AW224" s="483"/>
      <c r="AX224" s="484">
        <f t="shared" si="98"/>
        <v>0</v>
      </c>
      <c r="AY224" s="501" t="str">
        <f t="shared" si="89"/>
        <v/>
      </c>
      <c r="AZ224" s="488">
        <f t="shared" si="90"/>
        <v>0</v>
      </c>
    </row>
    <row r="225" spans="1:52" s="57" customFormat="1" ht="24.9" customHeight="1" x14ac:dyDescent="0.25">
      <c r="A225" s="425" t="s">
        <v>361</v>
      </c>
      <c r="B225" s="97" t="s">
        <v>273</v>
      </c>
      <c r="C225" s="97" t="s">
        <v>608</v>
      </c>
      <c r="D225" s="145" t="s">
        <v>102</v>
      </c>
      <c r="E225" s="415" t="s">
        <v>870</v>
      </c>
      <c r="F225" s="414" t="s">
        <v>675</v>
      </c>
      <c r="G225" s="127">
        <v>19.899999999999999</v>
      </c>
      <c r="H225" s="97" t="str">
        <f>VLOOKUP($F225,'Leistungswerte UHR Schulen'!$C$6:$F$38,3,FALSE)</f>
        <v>W1</v>
      </c>
      <c r="I225" s="328">
        <f>VLOOKUP(H225,Turnus!$D$9:$E$26,2,FALSE)</f>
        <v>38.178571428571388</v>
      </c>
      <c r="J225" s="127">
        <f>+G225*I225</f>
        <v>759.75357142857058</v>
      </c>
      <c r="K225" s="128">
        <f>VLOOKUP($F225,'Leistungswerte UHR Schulen'!$C$6:$F$38,4,FALSE)</f>
        <v>0</v>
      </c>
      <c r="L225" s="496" t="str">
        <f t="shared" si="97"/>
        <v/>
      </c>
      <c r="M225" s="129">
        <f>IF(ISERROR(J225/K225),0,J225/K225)</f>
        <v>0</v>
      </c>
      <c r="N225" s="547">
        <f t="shared" si="82"/>
        <v>0</v>
      </c>
      <c r="O225" s="130">
        <f>IF(ISERROR(G225/K225*N225),0,G225/K225*N225)</f>
        <v>0</v>
      </c>
      <c r="P225" s="131">
        <f>+M225*N225</f>
        <v>0</v>
      </c>
      <c r="Q225" s="578">
        <f t="shared" si="94"/>
        <v>1</v>
      </c>
      <c r="R225" s="587"/>
      <c r="S225" s="482"/>
      <c r="T225" s="482"/>
      <c r="U225" s="482"/>
      <c r="V225" s="482"/>
      <c r="W225" s="482"/>
      <c r="X225" s="482"/>
      <c r="Y225" s="482"/>
      <c r="Z225" s="482"/>
      <c r="AA225" s="482"/>
      <c r="AB225" s="482"/>
      <c r="AC225" s="482"/>
      <c r="AD225" s="482"/>
      <c r="AE225" s="482"/>
      <c r="AF225" s="482"/>
      <c r="AG225" s="482"/>
      <c r="AH225" s="482"/>
      <c r="AI225" s="482"/>
      <c r="AJ225" s="482"/>
      <c r="AK225" s="482"/>
      <c r="AL225" s="482"/>
      <c r="AM225" s="482"/>
      <c r="AN225" s="482"/>
      <c r="AO225" s="482"/>
      <c r="AP225" s="482"/>
      <c r="AQ225" s="482"/>
      <c r="AR225" s="482"/>
      <c r="AS225" s="482"/>
      <c r="AT225" s="482"/>
      <c r="AU225" s="482"/>
      <c r="AV225" s="482"/>
      <c r="AW225" s="483"/>
      <c r="AX225" s="484">
        <f t="shared" si="98"/>
        <v>0</v>
      </c>
      <c r="AY225" s="501" t="str">
        <f t="shared" si="89"/>
        <v/>
      </c>
      <c r="AZ225" s="488">
        <f t="shared" si="90"/>
        <v>0</v>
      </c>
    </row>
    <row r="226" spans="1:52" s="57" customFormat="1" ht="24.9" customHeight="1" x14ac:dyDescent="0.25">
      <c r="A226" s="425" t="s">
        <v>361</v>
      </c>
      <c r="B226" s="97" t="s">
        <v>273</v>
      </c>
      <c r="C226" s="97" t="s">
        <v>605</v>
      </c>
      <c r="D226" s="414" t="s">
        <v>606</v>
      </c>
      <c r="E226" s="415" t="s">
        <v>870</v>
      </c>
      <c r="F226" s="414" t="s">
        <v>690</v>
      </c>
      <c r="G226" s="127">
        <v>118.81</v>
      </c>
      <c r="H226" s="97" t="str">
        <f>VLOOKUP($F226,'Leistungswerte UHR Schulen'!$C$6:$F$38,3,FALSE)</f>
        <v>J2</v>
      </c>
      <c r="I226" s="328">
        <f>VLOOKUP(H226,Turnus!$D$9:$E$26,2,FALSE)</f>
        <v>2</v>
      </c>
      <c r="J226" s="127">
        <f t="shared" si="79"/>
        <v>237.62</v>
      </c>
      <c r="K226" s="128">
        <f>VLOOKUP($F226,'Leistungswerte UHR Schulen'!$C$6:$F$38,4,FALSE)</f>
        <v>0</v>
      </c>
      <c r="L226" s="496" t="str">
        <f t="shared" si="97"/>
        <v/>
      </c>
      <c r="M226" s="129">
        <f t="shared" si="80"/>
        <v>0</v>
      </c>
      <c r="N226" s="547">
        <f t="shared" si="82"/>
        <v>0</v>
      </c>
      <c r="O226" s="130">
        <f t="shared" si="81"/>
        <v>0</v>
      </c>
      <c r="P226" s="131">
        <f>+M226*N226</f>
        <v>0</v>
      </c>
      <c r="Q226" s="578">
        <f t="shared" si="94"/>
        <v>1</v>
      </c>
      <c r="R226" s="587"/>
      <c r="S226" s="482"/>
      <c r="T226" s="482"/>
      <c r="U226" s="482"/>
      <c r="V226" s="482"/>
      <c r="W226" s="482"/>
      <c r="X226" s="482"/>
      <c r="Y226" s="482"/>
      <c r="Z226" s="482"/>
      <c r="AA226" s="482"/>
      <c r="AB226" s="482"/>
      <c r="AC226" s="482"/>
      <c r="AD226" s="482"/>
      <c r="AE226" s="482"/>
      <c r="AF226" s="482"/>
      <c r="AG226" s="482"/>
      <c r="AH226" s="482"/>
      <c r="AI226" s="482"/>
      <c r="AJ226" s="482"/>
      <c r="AK226" s="482"/>
      <c r="AL226" s="482"/>
      <c r="AM226" s="482"/>
      <c r="AN226" s="482"/>
      <c r="AO226" s="482"/>
      <c r="AP226" s="482"/>
      <c r="AQ226" s="482"/>
      <c r="AR226" s="482"/>
      <c r="AS226" s="482"/>
      <c r="AT226" s="482"/>
      <c r="AU226" s="482"/>
      <c r="AV226" s="482"/>
      <c r="AW226" s="483"/>
      <c r="AX226" s="484">
        <f t="shared" si="98"/>
        <v>0</v>
      </c>
      <c r="AY226" s="501" t="str">
        <f t="shared" si="89"/>
        <v/>
      </c>
      <c r="AZ226" s="488">
        <f t="shared" si="90"/>
        <v>0</v>
      </c>
    </row>
    <row r="227" spans="1:52" s="57" customFormat="1" ht="24.9" customHeight="1" x14ac:dyDescent="0.25">
      <c r="A227" s="425" t="s">
        <v>361</v>
      </c>
      <c r="B227" s="97" t="s">
        <v>273</v>
      </c>
      <c r="C227" s="97" t="s">
        <v>751</v>
      </c>
      <c r="D227" s="145" t="s">
        <v>752</v>
      </c>
      <c r="E227" s="415" t="s">
        <v>870</v>
      </c>
      <c r="F227" s="414" t="s">
        <v>708</v>
      </c>
      <c r="G227" s="127">
        <v>12.19</v>
      </c>
      <c r="H227" s="97" t="str">
        <f>VLOOKUP($F227,'Leistungswerte UHR Schulen'!$C$6:$F$38,3,FALSE)</f>
        <v>kR</v>
      </c>
      <c r="I227" s="328">
        <f>VLOOKUP(H227,Turnus!$D$9:$E$26,2,FALSE)</f>
        <v>0</v>
      </c>
      <c r="J227" s="127">
        <f t="shared" si="79"/>
        <v>0</v>
      </c>
      <c r="K227" s="128">
        <f>VLOOKUP($F227,'Leistungswerte UHR Schulen'!$C$6:$F$38,4,FALSE)</f>
        <v>0</v>
      </c>
      <c r="L227" s="496" t="str">
        <f t="shared" si="97"/>
        <v/>
      </c>
      <c r="M227" s="129">
        <f t="shared" si="80"/>
        <v>0</v>
      </c>
      <c r="N227" s="547">
        <f t="shared" si="82"/>
        <v>0</v>
      </c>
      <c r="O227" s="130">
        <f t="shared" si="81"/>
        <v>0</v>
      </c>
      <c r="P227" s="131">
        <f>+M227*N227</f>
        <v>0</v>
      </c>
      <c r="Q227" s="578">
        <f t="shared" si="94"/>
        <v>1</v>
      </c>
      <c r="R227" s="587"/>
      <c r="S227" s="482"/>
      <c r="T227" s="482"/>
      <c r="U227" s="482"/>
      <c r="V227" s="482"/>
      <c r="W227" s="482"/>
      <c r="X227" s="482"/>
      <c r="Y227" s="482"/>
      <c r="Z227" s="482"/>
      <c r="AA227" s="482"/>
      <c r="AB227" s="482"/>
      <c r="AC227" s="482"/>
      <c r="AD227" s="482"/>
      <c r="AE227" s="482"/>
      <c r="AF227" s="482"/>
      <c r="AG227" s="482"/>
      <c r="AH227" s="482"/>
      <c r="AI227" s="482"/>
      <c r="AJ227" s="482"/>
      <c r="AK227" s="482"/>
      <c r="AL227" s="482"/>
      <c r="AM227" s="482"/>
      <c r="AN227" s="482"/>
      <c r="AO227" s="482"/>
      <c r="AP227" s="482"/>
      <c r="AQ227" s="482"/>
      <c r="AR227" s="482"/>
      <c r="AS227" s="482"/>
      <c r="AT227" s="482"/>
      <c r="AU227" s="482"/>
      <c r="AV227" s="482"/>
      <c r="AW227" s="483"/>
      <c r="AX227" s="484">
        <f t="shared" si="98"/>
        <v>0</v>
      </c>
      <c r="AY227" s="501" t="str">
        <f t="shared" si="89"/>
        <v/>
      </c>
      <c r="AZ227" s="488">
        <f t="shared" si="90"/>
        <v>0</v>
      </c>
    </row>
    <row r="228" spans="1:52" s="57" customFormat="1" ht="24.9" customHeight="1" x14ac:dyDescent="0.25">
      <c r="A228" s="425" t="s">
        <v>361</v>
      </c>
      <c r="B228" s="97" t="s">
        <v>273</v>
      </c>
      <c r="C228" s="97" t="s">
        <v>753</v>
      </c>
      <c r="D228" s="145" t="s">
        <v>754</v>
      </c>
      <c r="E228" s="415" t="s">
        <v>870</v>
      </c>
      <c r="F228" s="414" t="s">
        <v>708</v>
      </c>
      <c r="G228" s="127">
        <v>12.14</v>
      </c>
      <c r="H228" s="97" t="str">
        <f>VLOOKUP($F228,'Leistungswerte UHR Schulen'!$C$6:$F$38,3,FALSE)</f>
        <v>kR</v>
      </c>
      <c r="I228" s="328">
        <f>VLOOKUP(H228,Turnus!$D$9:$E$26,2,FALSE)</f>
        <v>0</v>
      </c>
      <c r="J228" s="127">
        <f t="shared" ref="J228" si="107">+G228*I228</f>
        <v>0</v>
      </c>
      <c r="K228" s="128">
        <f>VLOOKUP($F228,'Leistungswerte UHR Schulen'!$C$6:$F$38,4,FALSE)</f>
        <v>0</v>
      </c>
      <c r="L228" s="496" t="str">
        <f t="shared" si="97"/>
        <v/>
      </c>
      <c r="M228" s="129">
        <f t="shared" ref="M228" si="108">IF(ISERROR(J228/K228),0,J228/K228)</f>
        <v>0</v>
      </c>
      <c r="N228" s="547">
        <f t="shared" si="82"/>
        <v>0</v>
      </c>
      <c r="O228" s="130">
        <f t="shared" ref="O228" si="109">IF(ISERROR(G228/K228*N228),0,G228/K228*N228)</f>
        <v>0</v>
      </c>
      <c r="P228" s="131">
        <f t="shared" ref="P228" si="110">+M228*N228</f>
        <v>0</v>
      </c>
      <c r="Q228" s="578">
        <f t="shared" si="94"/>
        <v>1</v>
      </c>
      <c r="R228" s="587"/>
      <c r="S228" s="482"/>
      <c r="T228" s="482"/>
      <c r="U228" s="482"/>
      <c r="V228" s="482"/>
      <c r="W228" s="482"/>
      <c r="X228" s="482"/>
      <c r="Y228" s="482"/>
      <c r="Z228" s="482"/>
      <c r="AA228" s="482"/>
      <c r="AB228" s="482"/>
      <c r="AC228" s="482"/>
      <c r="AD228" s="482"/>
      <c r="AE228" s="482"/>
      <c r="AF228" s="482"/>
      <c r="AG228" s="482"/>
      <c r="AH228" s="482"/>
      <c r="AI228" s="482"/>
      <c r="AJ228" s="482"/>
      <c r="AK228" s="482"/>
      <c r="AL228" s="482"/>
      <c r="AM228" s="482"/>
      <c r="AN228" s="482"/>
      <c r="AO228" s="482"/>
      <c r="AP228" s="482"/>
      <c r="AQ228" s="482"/>
      <c r="AR228" s="482"/>
      <c r="AS228" s="482"/>
      <c r="AT228" s="482"/>
      <c r="AU228" s="482"/>
      <c r="AV228" s="482"/>
      <c r="AW228" s="483"/>
      <c r="AX228" s="484">
        <f t="shared" si="98"/>
        <v>0</v>
      </c>
      <c r="AY228" s="501" t="str">
        <f t="shared" si="89"/>
        <v/>
      </c>
      <c r="AZ228" s="488">
        <f t="shared" si="90"/>
        <v>0</v>
      </c>
    </row>
    <row r="229" spans="1:52" s="57" customFormat="1" ht="24.9" customHeight="1" x14ac:dyDescent="0.25">
      <c r="A229" s="425" t="s">
        <v>361</v>
      </c>
      <c r="B229" s="97" t="s">
        <v>273</v>
      </c>
      <c r="C229" s="97" t="s">
        <v>755</v>
      </c>
      <c r="D229" s="145" t="s">
        <v>732</v>
      </c>
      <c r="E229" s="415" t="s">
        <v>870</v>
      </c>
      <c r="F229" s="414" t="s">
        <v>708</v>
      </c>
      <c r="G229" s="127">
        <v>16.899999999999999</v>
      </c>
      <c r="H229" s="97" t="str">
        <f>VLOOKUP($F229,'Leistungswerte UHR Schulen'!$C$6:$F$38,3,FALSE)</f>
        <v>kR</v>
      </c>
      <c r="I229" s="328">
        <f>VLOOKUP(H229,Turnus!$D$9:$E$26,2,FALSE)</f>
        <v>0</v>
      </c>
      <c r="J229" s="127">
        <f t="shared" ref="J229" si="111">+G229*I229</f>
        <v>0</v>
      </c>
      <c r="K229" s="128">
        <f>VLOOKUP($F229,'Leistungswerte UHR Schulen'!$C$6:$F$38,4,FALSE)</f>
        <v>0</v>
      </c>
      <c r="L229" s="496" t="str">
        <f t="shared" si="97"/>
        <v/>
      </c>
      <c r="M229" s="129">
        <f t="shared" ref="M229" si="112">IF(ISERROR(J229/K229),0,J229/K229)</f>
        <v>0</v>
      </c>
      <c r="N229" s="547">
        <f t="shared" si="82"/>
        <v>0</v>
      </c>
      <c r="O229" s="130">
        <f t="shared" ref="O229" si="113">IF(ISERROR(G229/K229*N229),0,G229/K229*N229)</f>
        <v>0</v>
      </c>
      <c r="P229" s="131">
        <f t="shared" ref="P229" si="114">+M229*N229</f>
        <v>0</v>
      </c>
      <c r="Q229" s="578">
        <f t="shared" si="94"/>
        <v>1</v>
      </c>
      <c r="R229" s="587"/>
      <c r="S229" s="482"/>
      <c r="T229" s="482"/>
      <c r="U229" s="482"/>
      <c r="V229" s="482"/>
      <c r="W229" s="482"/>
      <c r="X229" s="482"/>
      <c r="Y229" s="482"/>
      <c r="Z229" s="482"/>
      <c r="AA229" s="482"/>
      <c r="AB229" s="482"/>
      <c r="AC229" s="482"/>
      <c r="AD229" s="482"/>
      <c r="AE229" s="482"/>
      <c r="AF229" s="482"/>
      <c r="AG229" s="482"/>
      <c r="AH229" s="482"/>
      <c r="AI229" s="482"/>
      <c r="AJ229" s="482"/>
      <c r="AK229" s="482"/>
      <c r="AL229" s="482"/>
      <c r="AM229" s="482"/>
      <c r="AN229" s="482"/>
      <c r="AO229" s="482"/>
      <c r="AP229" s="482"/>
      <c r="AQ229" s="482"/>
      <c r="AR229" s="482"/>
      <c r="AS229" s="482"/>
      <c r="AT229" s="482"/>
      <c r="AU229" s="482"/>
      <c r="AV229" s="482"/>
      <c r="AW229" s="483"/>
      <c r="AX229" s="484">
        <f t="shared" si="98"/>
        <v>0</v>
      </c>
      <c r="AY229" s="501" t="str">
        <f t="shared" si="89"/>
        <v/>
      </c>
      <c r="AZ229" s="488">
        <f t="shared" si="90"/>
        <v>0</v>
      </c>
    </row>
    <row r="230" spans="1:52" s="57" customFormat="1" ht="24.9" customHeight="1" x14ac:dyDescent="0.25">
      <c r="A230" s="425" t="s">
        <v>361</v>
      </c>
      <c r="B230" s="97" t="s">
        <v>273</v>
      </c>
      <c r="C230" s="97" t="s">
        <v>756</v>
      </c>
      <c r="D230" s="145" t="s">
        <v>166</v>
      </c>
      <c r="E230" s="415" t="s">
        <v>870</v>
      </c>
      <c r="F230" s="414" t="s">
        <v>708</v>
      </c>
      <c r="G230" s="127">
        <v>196.68</v>
      </c>
      <c r="H230" s="97" t="str">
        <f>VLOOKUP($F230,'Leistungswerte UHR Schulen'!$C$6:$F$38,3,FALSE)</f>
        <v>kR</v>
      </c>
      <c r="I230" s="328">
        <f>VLOOKUP(H230,Turnus!$D$9:$E$26,2,FALSE)</f>
        <v>0</v>
      </c>
      <c r="J230" s="127">
        <f t="shared" ref="J230:J231" si="115">+G230*I230</f>
        <v>0</v>
      </c>
      <c r="K230" s="128">
        <f>VLOOKUP($F230,'Leistungswerte UHR Schulen'!$C$6:$F$38,4,FALSE)</f>
        <v>0</v>
      </c>
      <c r="L230" s="496" t="str">
        <f t="shared" si="97"/>
        <v/>
      </c>
      <c r="M230" s="129">
        <f t="shared" ref="M230:M231" si="116">IF(ISERROR(J230/K230),0,J230/K230)</f>
        <v>0</v>
      </c>
      <c r="N230" s="547">
        <f t="shared" si="82"/>
        <v>0</v>
      </c>
      <c r="O230" s="130">
        <f t="shared" ref="O230:O231" si="117">IF(ISERROR(G230/K230*N230),0,G230/K230*N230)</f>
        <v>0</v>
      </c>
      <c r="P230" s="131">
        <f t="shared" ref="P230:P231" si="118">+M230*N230</f>
        <v>0</v>
      </c>
      <c r="Q230" s="578">
        <f t="shared" si="94"/>
        <v>1</v>
      </c>
      <c r="R230" s="587"/>
      <c r="S230" s="482"/>
      <c r="T230" s="482"/>
      <c r="U230" s="482"/>
      <c r="V230" s="482"/>
      <c r="W230" s="482"/>
      <c r="X230" s="482"/>
      <c r="Y230" s="482"/>
      <c r="Z230" s="482"/>
      <c r="AA230" s="482"/>
      <c r="AB230" s="482"/>
      <c r="AC230" s="482"/>
      <c r="AD230" s="482"/>
      <c r="AE230" s="482"/>
      <c r="AF230" s="482"/>
      <c r="AG230" s="482"/>
      <c r="AH230" s="482"/>
      <c r="AI230" s="482"/>
      <c r="AJ230" s="482"/>
      <c r="AK230" s="482"/>
      <c r="AL230" s="482"/>
      <c r="AM230" s="482"/>
      <c r="AN230" s="482"/>
      <c r="AO230" s="482"/>
      <c r="AP230" s="482"/>
      <c r="AQ230" s="482"/>
      <c r="AR230" s="482"/>
      <c r="AS230" s="482"/>
      <c r="AT230" s="482"/>
      <c r="AU230" s="482"/>
      <c r="AV230" s="482"/>
      <c r="AW230" s="483"/>
      <c r="AX230" s="484">
        <f t="shared" si="98"/>
        <v>0</v>
      </c>
      <c r="AY230" s="501" t="str">
        <f t="shared" si="89"/>
        <v/>
      </c>
      <c r="AZ230" s="488">
        <f t="shared" si="90"/>
        <v>0</v>
      </c>
    </row>
    <row r="231" spans="1:52" s="57" customFormat="1" ht="24.9" customHeight="1" x14ac:dyDescent="0.25">
      <c r="A231" s="425" t="s">
        <v>361</v>
      </c>
      <c r="B231" s="97" t="s">
        <v>273</v>
      </c>
      <c r="C231" s="97" t="s">
        <v>757</v>
      </c>
      <c r="D231" s="145" t="s">
        <v>758</v>
      </c>
      <c r="E231" s="415" t="s">
        <v>870</v>
      </c>
      <c r="F231" s="414" t="s">
        <v>708</v>
      </c>
      <c r="G231" s="127">
        <v>65.69</v>
      </c>
      <c r="H231" s="97" t="str">
        <f>VLOOKUP($F231,'Leistungswerte UHR Schulen'!$C$6:$F$38,3,FALSE)</f>
        <v>kR</v>
      </c>
      <c r="I231" s="328">
        <f>VLOOKUP(H231,Turnus!$D$9:$E$26,2,FALSE)</f>
        <v>0</v>
      </c>
      <c r="J231" s="127">
        <f t="shared" si="115"/>
        <v>0</v>
      </c>
      <c r="K231" s="128">
        <f>VLOOKUP($F231,'Leistungswerte UHR Schulen'!$C$6:$F$38,4,FALSE)</f>
        <v>0</v>
      </c>
      <c r="L231" s="496" t="str">
        <f t="shared" si="97"/>
        <v/>
      </c>
      <c r="M231" s="129">
        <f t="shared" si="116"/>
        <v>0</v>
      </c>
      <c r="N231" s="547">
        <f t="shared" si="82"/>
        <v>0</v>
      </c>
      <c r="O231" s="130">
        <f t="shared" si="117"/>
        <v>0</v>
      </c>
      <c r="P231" s="131">
        <f t="shared" si="118"/>
        <v>0</v>
      </c>
      <c r="Q231" s="578">
        <f t="shared" si="94"/>
        <v>1</v>
      </c>
      <c r="R231" s="587"/>
      <c r="S231" s="482"/>
      <c r="T231" s="482"/>
      <c r="U231" s="482"/>
      <c r="V231" s="482"/>
      <c r="W231" s="482"/>
      <c r="X231" s="482"/>
      <c r="Y231" s="482"/>
      <c r="Z231" s="482"/>
      <c r="AA231" s="482"/>
      <c r="AB231" s="482"/>
      <c r="AC231" s="482"/>
      <c r="AD231" s="482"/>
      <c r="AE231" s="482"/>
      <c r="AF231" s="482"/>
      <c r="AG231" s="482"/>
      <c r="AH231" s="482"/>
      <c r="AI231" s="482"/>
      <c r="AJ231" s="482"/>
      <c r="AK231" s="482"/>
      <c r="AL231" s="482"/>
      <c r="AM231" s="482"/>
      <c r="AN231" s="482"/>
      <c r="AO231" s="482"/>
      <c r="AP231" s="482"/>
      <c r="AQ231" s="482"/>
      <c r="AR231" s="482"/>
      <c r="AS231" s="482"/>
      <c r="AT231" s="482"/>
      <c r="AU231" s="482"/>
      <c r="AV231" s="482"/>
      <c r="AW231" s="483"/>
      <c r="AX231" s="484">
        <f t="shared" si="98"/>
        <v>0</v>
      </c>
      <c r="AY231" s="501" t="str">
        <f t="shared" si="89"/>
        <v/>
      </c>
      <c r="AZ231" s="488">
        <f t="shared" si="90"/>
        <v>0</v>
      </c>
    </row>
    <row r="232" spans="1:52" s="57" customFormat="1" ht="24.9" customHeight="1" x14ac:dyDescent="0.25">
      <c r="A232" s="425" t="s">
        <v>361</v>
      </c>
      <c r="B232" s="97" t="s">
        <v>273</v>
      </c>
      <c r="C232" s="97" t="s">
        <v>759</v>
      </c>
      <c r="D232" s="145" t="s">
        <v>758</v>
      </c>
      <c r="E232" s="415" t="s">
        <v>870</v>
      </c>
      <c r="F232" s="414" t="s">
        <v>708</v>
      </c>
      <c r="G232" s="127">
        <v>3.39</v>
      </c>
      <c r="H232" s="97" t="str">
        <f>VLOOKUP($F232,'Leistungswerte UHR Schulen'!$C$6:$F$38,3,FALSE)</f>
        <v>kR</v>
      </c>
      <c r="I232" s="328">
        <f>VLOOKUP(H232,Turnus!$D$9:$E$26,2,FALSE)</f>
        <v>0</v>
      </c>
      <c r="J232" s="127">
        <f t="shared" ref="J232" si="119">+G232*I232</f>
        <v>0</v>
      </c>
      <c r="K232" s="128">
        <f>VLOOKUP($F232,'Leistungswerte UHR Schulen'!$C$6:$F$38,4,FALSE)</f>
        <v>0</v>
      </c>
      <c r="L232" s="496" t="str">
        <f t="shared" si="97"/>
        <v/>
      </c>
      <c r="M232" s="129">
        <f t="shared" ref="M232" si="120">IF(ISERROR(J232/K232),0,J232/K232)</f>
        <v>0</v>
      </c>
      <c r="N232" s="547">
        <f t="shared" si="82"/>
        <v>0</v>
      </c>
      <c r="O232" s="130">
        <f t="shared" ref="O232" si="121">IF(ISERROR(G232/K232*N232),0,G232/K232*N232)</f>
        <v>0</v>
      </c>
      <c r="P232" s="131">
        <f t="shared" ref="P232" si="122">+M232*N232</f>
        <v>0</v>
      </c>
      <c r="Q232" s="578">
        <f t="shared" si="94"/>
        <v>1</v>
      </c>
      <c r="R232" s="587"/>
      <c r="S232" s="482"/>
      <c r="T232" s="482"/>
      <c r="U232" s="482"/>
      <c r="V232" s="482"/>
      <c r="W232" s="482"/>
      <c r="X232" s="482"/>
      <c r="Y232" s="482"/>
      <c r="Z232" s="482"/>
      <c r="AA232" s="482"/>
      <c r="AB232" s="482"/>
      <c r="AC232" s="482"/>
      <c r="AD232" s="482"/>
      <c r="AE232" s="482"/>
      <c r="AF232" s="482"/>
      <c r="AG232" s="482"/>
      <c r="AH232" s="482"/>
      <c r="AI232" s="482"/>
      <c r="AJ232" s="482"/>
      <c r="AK232" s="482"/>
      <c r="AL232" s="482"/>
      <c r="AM232" s="482"/>
      <c r="AN232" s="482"/>
      <c r="AO232" s="482"/>
      <c r="AP232" s="482"/>
      <c r="AQ232" s="482"/>
      <c r="AR232" s="482"/>
      <c r="AS232" s="482"/>
      <c r="AT232" s="482"/>
      <c r="AU232" s="482"/>
      <c r="AV232" s="482"/>
      <c r="AW232" s="483"/>
      <c r="AX232" s="484">
        <f t="shared" si="98"/>
        <v>0</v>
      </c>
      <c r="AY232" s="501" t="str">
        <f t="shared" si="89"/>
        <v/>
      </c>
      <c r="AZ232" s="488">
        <f t="shared" si="90"/>
        <v>0</v>
      </c>
    </row>
    <row r="233" spans="1:52" s="57" customFormat="1" ht="24.9" customHeight="1" x14ac:dyDescent="0.25">
      <c r="A233" s="425" t="s">
        <v>361</v>
      </c>
      <c r="B233" s="97" t="s">
        <v>273</v>
      </c>
      <c r="C233" s="97" t="s">
        <v>607</v>
      </c>
      <c r="D233" s="145" t="s">
        <v>165</v>
      </c>
      <c r="E233" s="415" t="s">
        <v>870</v>
      </c>
      <c r="F233" s="414" t="s">
        <v>689</v>
      </c>
      <c r="G233" s="127">
        <v>21.94</v>
      </c>
      <c r="H233" s="97" t="str">
        <f>VLOOKUP($F233,'Leistungswerte UHR Schulen'!$C$6:$F$38,3,FALSE)</f>
        <v>M1</v>
      </c>
      <c r="I233" s="328">
        <f>VLOOKUP(H233,Turnus!$D$9:$E$26,2,FALSE)</f>
        <v>11</v>
      </c>
      <c r="J233" s="127">
        <f t="shared" si="79"/>
        <v>241.34</v>
      </c>
      <c r="K233" s="128">
        <f>VLOOKUP($F233,'Leistungswerte UHR Schulen'!$C$6:$F$38,4,FALSE)</f>
        <v>0</v>
      </c>
      <c r="L233" s="496" t="str">
        <f t="shared" si="97"/>
        <v/>
      </c>
      <c r="M233" s="129">
        <f t="shared" si="80"/>
        <v>0</v>
      </c>
      <c r="N233" s="547">
        <f t="shared" si="82"/>
        <v>0</v>
      </c>
      <c r="O233" s="130">
        <f t="shared" si="81"/>
        <v>0</v>
      </c>
      <c r="P233" s="131">
        <f t="shared" ref="P233:P238" si="123">+M233*N233</f>
        <v>0</v>
      </c>
      <c r="Q233" s="578">
        <f t="shared" si="94"/>
        <v>1</v>
      </c>
      <c r="R233" s="587"/>
      <c r="S233" s="482"/>
      <c r="T233" s="482"/>
      <c r="U233" s="482"/>
      <c r="V233" s="482"/>
      <c r="W233" s="482"/>
      <c r="X233" s="482"/>
      <c r="Y233" s="482"/>
      <c r="Z233" s="482"/>
      <c r="AA233" s="482"/>
      <c r="AB233" s="482"/>
      <c r="AC233" s="482"/>
      <c r="AD233" s="482"/>
      <c r="AE233" s="482"/>
      <c r="AF233" s="482"/>
      <c r="AG233" s="482"/>
      <c r="AH233" s="482"/>
      <c r="AI233" s="482"/>
      <c r="AJ233" s="482"/>
      <c r="AK233" s="482"/>
      <c r="AL233" s="482"/>
      <c r="AM233" s="482"/>
      <c r="AN233" s="482"/>
      <c r="AO233" s="482"/>
      <c r="AP233" s="482"/>
      <c r="AQ233" s="482"/>
      <c r="AR233" s="482"/>
      <c r="AS233" s="482"/>
      <c r="AT233" s="482"/>
      <c r="AU233" s="482"/>
      <c r="AV233" s="482"/>
      <c r="AW233" s="483"/>
      <c r="AX233" s="484">
        <f t="shared" si="98"/>
        <v>0</v>
      </c>
      <c r="AY233" s="501" t="str">
        <f t="shared" si="89"/>
        <v/>
      </c>
      <c r="AZ233" s="488">
        <f t="shared" si="90"/>
        <v>0</v>
      </c>
    </row>
    <row r="234" spans="1:52" s="57" customFormat="1" ht="24.9" customHeight="1" x14ac:dyDescent="0.25">
      <c r="A234" s="425" t="s">
        <v>361</v>
      </c>
      <c r="B234" s="97" t="s">
        <v>273</v>
      </c>
      <c r="C234" s="97" t="s">
        <v>609</v>
      </c>
      <c r="D234" s="414" t="s">
        <v>102</v>
      </c>
      <c r="E234" s="415" t="s">
        <v>870</v>
      </c>
      <c r="F234" s="414" t="s">
        <v>862</v>
      </c>
      <c r="G234" s="127">
        <v>120.77</v>
      </c>
      <c r="H234" s="97" t="str">
        <f>VLOOKUP($F234,'Leistungswerte UHR Schulen'!$C$6:$F$38,3,FALSE)</f>
        <v>M1</v>
      </c>
      <c r="I234" s="328">
        <f>VLOOKUP(H234,Turnus!$D$9:$E$26,2,FALSE)</f>
        <v>11</v>
      </c>
      <c r="J234" s="127">
        <f t="shared" si="79"/>
        <v>1328.47</v>
      </c>
      <c r="K234" s="128">
        <f>VLOOKUP($F234,'Leistungswerte UHR Schulen'!$C$6:$F$38,4,FALSE)</f>
        <v>0</v>
      </c>
      <c r="L234" s="496" t="str">
        <f t="shared" si="97"/>
        <v/>
      </c>
      <c r="M234" s="129">
        <f t="shared" si="80"/>
        <v>0</v>
      </c>
      <c r="N234" s="547">
        <f t="shared" si="82"/>
        <v>0</v>
      </c>
      <c r="O234" s="130">
        <f t="shared" si="81"/>
        <v>0</v>
      </c>
      <c r="P234" s="131">
        <f t="shared" si="123"/>
        <v>0</v>
      </c>
      <c r="Q234" s="578">
        <f t="shared" si="94"/>
        <v>1</v>
      </c>
      <c r="R234" s="587"/>
      <c r="S234" s="482"/>
      <c r="T234" s="482"/>
      <c r="U234" s="482"/>
      <c r="V234" s="482"/>
      <c r="W234" s="482"/>
      <c r="X234" s="482"/>
      <c r="Y234" s="482"/>
      <c r="Z234" s="482"/>
      <c r="AA234" s="482"/>
      <c r="AB234" s="482"/>
      <c r="AC234" s="482"/>
      <c r="AD234" s="482"/>
      <c r="AE234" s="482"/>
      <c r="AF234" s="482"/>
      <c r="AG234" s="482"/>
      <c r="AH234" s="482"/>
      <c r="AI234" s="482"/>
      <c r="AJ234" s="482"/>
      <c r="AK234" s="482"/>
      <c r="AL234" s="482"/>
      <c r="AM234" s="482"/>
      <c r="AN234" s="482"/>
      <c r="AO234" s="482"/>
      <c r="AP234" s="482"/>
      <c r="AQ234" s="482"/>
      <c r="AR234" s="482"/>
      <c r="AS234" s="482"/>
      <c r="AT234" s="482"/>
      <c r="AU234" s="482"/>
      <c r="AV234" s="482"/>
      <c r="AW234" s="483"/>
      <c r="AX234" s="484">
        <f t="shared" si="98"/>
        <v>0</v>
      </c>
      <c r="AY234" s="501" t="str">
        <f t="shared" si="89"/>
        <v/>
      </c>
      <c r="AZ234" s="488">
        <f t="shared" si="90"/>
        <v>0</v>
      </c>
    </row>
    <row r="235" spans="1:52" s="57" customFormat="1" ht="24.9" customHeight="1" x14ac:dyDescent="0.25">
      <c r="A235" s="425" t="s">
        <v>361</v>
      </c>
      <c r="B235" s="97" t="s">
        <v>273</v>
      </c>
      <c r="C235" s="97" t="s">
        <v>613</v>
      </c>
      <c r="D235" s="145" t="s">
        <v>102</v>
      </c>
      <c r="E235" s="415" t="s">
        <v>874</v>
      </c>
      <c r="F235" s="414" t="s">
        <v>862</v>
      </c>
      <c r="G235" s="127">
        <v>36.54</v>
      </c>
      <c r="H235" s="97" t="str">
        <f>VLOOKUP($F235,'Leistungswerte UHR Schulen'!$C$6:$F$38,3,FALSE)</f>
        <v>M1</v>
      </c>
      <c r="I235" s="328">
        <f>VLOOKUP(H235,Turnus!$D$9:$E$26,2,FALSE)</f>
        <v>11</v>
      </c>
      <c r="J235" s="127">
        <f>+G235*I235</f>
        <v>401.94</v>
      </c>
      <c r="K235" s="128">
        <f>VLOOKUP($F235,'Leistungswerte UHR Schulen'!$C$6:$F$38,4,FALSE)</f>
        <v>0</v>
      </c>
      <c r="L235" s="496" t="str">
        <f t="shared" si="97"/>
        <v/>
      </c>
      <c r="M235" s="129">
        <f>IF(ISERROR(J235/K235),0,J235/K235)</f>
        <v>0</v>
      </c>
      <c r="N235" s="547">
        <f t="shared" si="82"/>
        <v>0</v>
      </c>
      <c r="O235" s="130">
        <f>IF(ISERROR(G235/K235*N235),0,G235/K235*N235)</f>
        <v>0</v>
      </c>
      <c r="P235" s="131">
        <f t="shared" si="123"/>
        <v>0</v>
      </c>
      <c r="Q235" s="578">
        <f t="shared" si="94"/>
        <v>1</v>
      </c>
      <c r="R235" s="587"/>
      <c r="S235" s="482"/>
      <c r="T235" s="482"/>
      <c r="U235" s="482"/>
      <c r="V235" s="482"/>
      <c r="W235" s="482"/>
      <c r="X235" s="482"/>
      <c r="Y235" s="482"/>
      <c r="Z235" s="482"/>
      <c r="AA235" s="482"/>
      <c r="AB235" s="482"/>
      <c r="AC235" s="482"/>
      <c r="AD235" s="482"/>
      <c r="AE235" s="482"/>
      <c r="AF235" s="482"/>
      <c r="AG235" s="482"/>
      <c r="AH235" s="482"/>
      <c r="AI235" s="482"/>
      <c r="AJ235" s="482"/>
      <c r="AK235" s="482"/>
      <c r="AL235" s="482"/>
      <c r="AM235" s="482"/>
      <c r="AN235" s="482"/>
      <c r="AO235" s="482"/>
      <c r="AP235" s="482"/>
      <c r="AQ235" s="482"/>
      <c r="AR235" s="482"/>
      <c r="AS235" s="482"/>
      <c r="AT235" s="482"/>
      <c r="AU235" s="482"/>
      <c r="AV235" s="482"/>
      <c r="AW235" s="483"/>
      <c r="AX235" s="484">
        <f t="shared" si="98"/>
        <v>0</v>
      </c>
      <c r="AY235" s="501" t="str">
        <f t="shared" si="89"/>
        <v/>
      </c>
      <c r="AZ235" s="488">
        <f t="shared" si="90"/>
        <v>0</v>
      </c>
    </row>
    <row r="236" spans="1:52" s="57" customFormat="1" ht="24.9" customHeight="1" x14ac:dyDescent="0.25">
      <c r="A236" s="425" t="s">
        <v>361</v>
      </c>
      <c r="B236" s="97" t="s">
        <v>273</v>
      </c>
      <c r="C236" s="97" t="s">
        <v>610</v>
      </c>
      <c r="D236" s="145" t="s">
        <v>948</v>
      </c>
      <c r="E236" s="415" t="s">
        <v>169</v>
      </c>
      <c r="F236" s="414" t="s">
        <v>875</v>
      </c>
      <c r="G236" s="127">
        <v>41.07</v>
      </c>
      <c r="H236" s="97" t="str">
        <f>VLOOKUP($F236,'Leistungswerte UHR Schulen'!$C$6:$F$38,3,FALSE)</f>
        <v>M1</v>
      </c>
      <c r="I236" s="328">
        <f>VLOOKUP(H236,Turnus!$D$9:$E$26,2,FALSE)</f>
        <v>11</v>
      </c>
      <c r="J236" s="127">
        <f t="shared" si="79"/>
        <v>451.77</v>
      </c>
      <c r="K236" s="128">
        <f>VLOOKUP($F236,'Leistungswerte UHR Schulen'!$C$6:$F$38,4,FALSE)</f>
        <v>0</v>
      </c>
      <c r="L236" s="496" t="str">
        <f t="shared" si="97"/>
        <v/>
      </c>
      <c r="M236" s="129">
        <f t="shared" si="80"/>
        <v>0</v>
      </c>
      <c r="N236" s="547">
        <f t="shared" si="82"/>
        <v>0</v>
      </c>
      <c r="O236" s="130">
        <f t="shared" si="81"/>
        <v>0</v>
      </c>
      <c r="P236" s="131">
        <f t="shared" si="123"/>
        <v>0</v>
      </c>
      <c r="Q236" s="578">
        <f t="shared" si="94"/>
        <v>1</v>
      </c>
      <c r="R236" s="587"/>
      <c r="S236" s="482"/>
      <c r="T236" s="482"/>
      <c r="U236" s="482"/>
      <c r="V236" s="482"/>
      <c r="W236" s="482"/>
      <c r="X236" s="482"/>
      <c r="Y236" s="482"/>
      <c r="Z236" s="482"/>
      <c r="AA236" s="482"/>
      <c r="AB236" s="482"/>
      <c r="AC236" s="482"/>
      <c r="AD236" s="482"/>
      <c r="AE236" s="482"/>
      <c r="AF236" s="482"/>
      <c r="AG236" s="482"/>
      <c r="AH236" s="482"/>
      <c r="AI236" s="482"/>
      <c r="AJ236" s="482"/>
      <c r="AK236" s="482"/>
      <c r="AL236" s="482"/>
      <c r="AM236" s="482"/>
      <c r="AN236" s="482"/>
      <c r="AO236" s="482"/>
      <c r="AP236" s="482"/>
      <c r="AQ236" s="482"/>
      <c r="AR236" s="482"/>
      <c r="AS236" s="482"/>
      <c r="AT236" s="482"/>
      <c r="AU236" s="482"/>
      <c r="AV236" s="482"/>
      <c r="AW236" s="483"/>
      <c r="AX236" s="484">
        <f t="shared" si="98"/>
        <v>0</v>
      </c>
      <c r="AY236" s="501" t="str">
        <f t="shared" si="89"/>
        <v/>
      </c>
      <c r="AZ236" s="488">
        <f t="shared" si="90"/>
        <v>0</v>
      </c>
    </row>
    <row r="237" spans="1:52" s="57" customFormat="1" ht="24.9" customHeight="1" x14ac:dyDescent="0.25">
      <c r="A237" s="425" t="s">
        <v>361</v>
      </c>
      <c r="B237" s="97" t="s">
        <v>273</v>
      </c>
      <c r="C237" s="97" t="s">
        <v>760</v>
      </c>
      <c r="D237" s="145" t="s">
        <v>165</v>
      </c>
      <c r="E237" s="415" t="s">
        <v>870</v>
      </c>
      <c r="F237" s="414" t="s">
        <v>761</v>
      </c>
      <c r="G237" s="127">
        <v>21.69</v>
      </c>
      <c r="H237" s="97" t="str">
        <f>VLOOKUP($F237,'Leistungswerte UHR Schulen'!$C$6:$F$38,3,FALSE)</f>
        <v>J1</v>
      </c>
      <c r="I237" s="328">
        <f>VLOOKUP(H237,Turnus!$D$9:$E$26,2,FALSE)</f>
        <v>1</v>
      </c>
      <c r="J237" s="127">
        <f t="shared" si="79"/>
        <v>21.69</v>
      </c>
      <c r="K237" s="128">
        <f>VLOOKUP($F237,'Leistungswerte UHR Schulen'!$C$6:$F$38,4,FALSE)</f>
        <v>0</v>
      </c>
      <c r="L237" s="496" t="str">
        <f t="shared" si="97"/>
        <v/>
      </c>
      <c r="M237" s="129">
        <f t="shared" si="80"/>
        <v>0</v>
      </c>
      <c r="N237" s="547">
        <f t="shared" si="82"/>
        <v>0</v>
      </c>
      <c r="O237" s="130">
        <f t="shared" si="81"/>
        <v>0</v>
      </c>
      <c r="P237" s="131">
        <f t="shared" si="123"/>
        <v>0</v>
      </c>
      <c r="Q237" s="578">
        <f t="shared" si="94"/>
        <v>1</v>
      </c>
      <c r="R237" s="587"/>
      <c r="S237" s="482"/>
      <c r="T237" s="482"/>
      <c r="U237" s="482"/>
      <c r="V237" s="482"/>
      <c r="W237" s="482"/>
      <c r="X237" s="482"/>
      <c r="Y237" s="482"/>
      <c r="Z237" s="482"/>
      <c r="AA237" s="482"/>
      <c r="AB237" s="482"/>
      <c r="AC237" s="482"/>
      <c r="AD237" s="482"/>
      <c r="AE237" s="482"/>
      <c r="AF237" s="482"/>
      <c r="AG237" s="482"/>
      <c r="AH237" s="482"/>
      <c r="AI237" s="482"/>
      <c r="AJ237" s="482"/>
      <c r="AK237" s="482"/>
      <c r="AL237" s="482"/>
      <c r="AM237" s="482"/>
      <c r="AN237" s="482"/>
      <c r="AO237" s="482"/>
      <c r="AP237" s="482"/>
      <c r="AQ237" s="482"/>
      <c r="AR237" s="482"/>
      <c r="AS237" s="482"/>
      <c r="AT237" s="482"/>
      <c r="AU237" s="482"/>
      <c r="AV237" s="482"/>
      <c r="AW237" s="483"/>
      <c r="AX237" s="484">
        <f t="shared" si="98"/>
        <v>0</v>
      </c>
      <c r="AY237" s="501" t="str">
        <f t="shared" si="89"/>
        <v/>
      </c>
      <c r="AZ237" s="488">
        <f t="shared" si="90"/>
        <v>0</v>
      </c>
    </row>
    <row r="238" spans="1:52" s="57" customFormat="1" ht="24.9" customHeight="1" x14ac:dyDescent="0.25">
      <c r="A238" s="425" t="s">
        <v>361</v>
      </c>
      <c r="B238" s="97" t="s">
        <v>273</v>
      </c>
      <c r="C238" s="97" t="s">
        <v>617</v>
      </c>
      <c r="D238" s="145" t="s">
        <v>266</v>
      </c>
      <c r="E238" s="230" t="s">
        <v>619</v>
      </c>
      <c r="F238" s="414" t="s">
        <v>876</v>
      </c>
      <c r="G238" s="127">
        <v>20.22</v>
      </c>
      <c r="H238" s="97" t="str">
        <f>VLOOKUP($F238,'Leistungswerte UHR Schulen'!$C$6:$F$38,3,FALSE)</f>
        <v>M1</v>
      </c>
      <c r="I238" s="328">
        <f>VLOOKUP(H238,Turnus!$D$9:$E$26,2,FALSE)</f>
        <v>11</v>
      </c>
      <c r="J238" s="127">
        <f>+G238*I238</f>
        <v>222.42</v>
      </c>
      <c r="K238" s="128">
        <f>VLOOKUP($F238,'Leistungswerte UHR Schulen'!$C$6:$F$38,4,FALSE)</f>
        <v>0</v>
      </c>
      <c r="L238" s="496" t="str">
        <f t="shared" si="97"/>
        <v/>
      </c>
      <c r="M238" s="129">
        <f>IF(ISERROR(J238/K238),0,J238/K238)</f>
        <v>0</v>
      </c>
      <c r="N238" s="547">
        <f t="shared" si="82"/>
        <v>0</v>
      </c>
      <c r="O238" s="130">
        <f>IF(ISERROR(G238/K238*N238),0,G238/K238*N238)</f>
        <v>0</v>
      </c>
      <c r="P238" s="131">
        <f t="shared" si="123"/>
        <v>0</v>
      </c>
      <c r="Q238" s="578">
        <f t="shared" si="94"/>
        <v>1</v>
      </c>
      <c r="R238" s="587"/>
      <c r="S238" s="482"/>
      <c r="T238" s="482"/>
      <c r="U238" s="482"/>
      <c r="V238" s="482"/>
      <c r="W238" s="482"/>
      <c r="X238" s="482"/>
      <c r="Y238" s="482"/>
      <c r="Z238" s="482"/>
      <c r="AA238" s="482"/>
      <c r="AB238" s="482"/>
      <c r="AC238" s="482"/>
      <c r="AD238" s="482"/>
      <c r="AE238" s="482"/>
      <c r="AF238" s="482"/>
      <c r="AG238" s="482"/>
      <c r="AH238" s="482"/>
      <c r="AI238" s="482"/>
      <c r="AJ238" s="482"/>
      <c r="AK238" s="482"/>
      <c r="AL238" s="482"/>
      <c r="AM238" s="482"/>
      <c r="AN238" s="482"/>
      <c r="AO238" s="482"/>
      <c r="AP238" s="482"/>
      <c r="AQ238" s="482"/>
      <c r="AR238" s="482"/>
      <c r="AS238" s="482"/>
      <c r="AT238" s="482"/>
      <c r="AU238" s="482"/>
      <c r="AV238" s="482"/>
      <c r="AW238" s="483"/>
      <c r="AX238" s="484">
        <f t="shared" si="98"/>
        <v>0</v>
      </c>
      <c r="AY238" s="501" t="str">
        <f t="shared" si="89"/>
        <v/>
      </c>
      <c r="AZ238" s="488">
        <f t="shared" si="90"/>
        <v>0</v>
      </c>
    </row>
    <row r="239" spans="1:52" s="57" customFormat="1" ht="24.9" customHeight="1" x14ac:dyDescent="0.25">
      <c r="A239" s="424" t="s">
        <v>362</v>
      </c>
      <c r="B239" s="97" t="s">
        <v>273</v>
      </c>
      <c r="C239" s="97" t="s">
        <v>762</v>
      </c>
      <c r="D239" s="145" t="s">
        <v>763</v>
      </c>
      <c r="E239" s="415" t="s">
        <v>169</v>
      </c>
      <c r="F239" s="414" t="s">
        <v>689</v>
      </c>
      <c r="G239" s="127">
        <v>21.47</v>
      </c>
      <c r="H239" s="97" t="str">
        <f>VLOOKUP($F239,'Leistungswerte UHR Kigas'!$C$6:$F$32,3,FALSE)</f>
        <v>M1</v>
      </c>
      <c r="I239" s="328">
        <f>VLOOKUP(H239,Turnus!$H$9:$I$26,2,FALSE)</f>
        <v>12</v>
      </c>
      <c r="J239" s="127">
        <f t="shared" ref="J239" si="124">+G239*I239</f>
        <v>257.64</v>
      </c>
      <c r="K239" s="128">
        <f>VLOOKUP($F239,'Leistungswerte UHR Kigas'!$C$6:$F$44,4,FALSE)</f>
        <v>0</v>
      </c>
      <c r="L239" s="496" t="str">
        <f t="shared" si="97"/>
        <v/>
      </c>
      <c r="M239" s="129">
        <f t="shared" ref="M239" si="125">IF(ISERROR(J239/K239),0,J239/K239)</f>
        <v>0</v>
      </c>
      <c r="N239" s="547">
        <f t="shared" si="82"/>
        <v>0</v>
      </c>
      <c r="O239" s="130">
        <f t="shared" ref="O239" si="126">IF(ISERROR(G239/K239*N239),0,G239/K239*N239)</f>
        <v>0</v>
      </c>
      <c r="P239" s="131">
        <f t="shared" ref="P239" si="127">+M239*N239</f>
        <v>0</v>
      </c>
      <c r="Q239" s="578">
        <f t="shared" si="94"/>
        <v>2</v>
      </c>
      <c r="R239" s="587"/>
      <c r="S239" s="482"/>
      <c r="T239" s="482"/>
      <c r="U239" s="482"/>
      <c r="V239" s="482"/>
      <c r="W239" s="482"/>
      <c r="X239" s="482"/>
      <c r="Y239" s="482"/>
      <c r="Z239" s="482"/>
      <c r="AA239" s="482"/>
      <c r="AB239" s="482"/>
      <c r="AC239" s="482"/>
      <c r="AD239" s="482"/>
      <c r="AE239" s="482"/>
      <c r="AF239" s="482"/>
      <c r="AG239" s="482"/>
      <c r="AH239" s="482"/>
      <c r="AI239" s="482"/>
      <c r="AJ239" s="482"/>
      <c r="AK239" s="482"/>
      <c r="AL239" s="482"/>
      <c r="AM239" s="482"/>
      <c r="AN239" s="482"/>
      <c r="AO239" s="482"/>
      <c r="AP239" s="482"/>
      <c r="AQ239" s="482"/>
      <c r="AR239" s="482"/>
      <c r="AS239" s="482"/>
      <c r="AT239" s="482"/>
      <c r="AU239" s="482"/>
      <c r="AV239" s="482"/>
      <c r="AW239" s="483"/>
      <c r="AX239" s="484">
        <f t="shared" si="98"/>
        <v>0</v>
      </c>
      <c r="AY239" s="501" t="str">
        <f t="shared" si="89"/>
        <v/>
      </c>
      <c r="AZ239" s="488">
        <f t="shared" si="90"/>
        <v>0</v>
      </c>
    </row>
    <row r="240" spans="1:52" s="57" customFormat="1" ht="24.9" customHeight="1" x14ac:dyDescent="0.25">
      <c r="A240" s="424" t="s">
        <v>362</v>
      </c>
      <c r="B240" s="97" t="s">
        <v>273</v>
      </c>
      <c r="C240" s="97" t="s">
        <v>612</v>
      </c>
      <c r="D240" s="145" t="s">
        <v>165</v>
      </c>
      <c r="E240" s="415" t="s">
        <v>171</v>
      </c>
      <c r="F240" s="414" t="s">
        <v>689</v>
      </c>
      <c r="G240" s="127">
        <v>23.73</v>
      </c>
      <c r="H240" s="97" t="str">
        <f>VLOOKUP($F240,'Leistungswerte UHR Kigas'!$C$6:$F$32,3,FALSE)</f>
        <v>M1</v>
      </c>
      <c r="I240" s="328">
        <f>VLOOKUP(H240,Turnus!$H$9:$I$26,2,FALSE)</f>
        <v>12</v>
      </c>
      <c r="J240" s="127">
        <f t="shared" si="79"/>
        <v>284.76</v>
      </c>
      <c r="K240" s="128">
        <f>VLOOKUP($F240,'Leistungswerte UHR Kigas'!$C$6:$F$44,4,FALSE)</f>
        <v>0</v>
      </c>
      <c r="L240" s="496" t="str">
        <f t="shared" si="97"/>
        <v/>
      </c>
      <c r="M240" s="129">
        <f t="shared" si="80"/>
        <v>0</v>
      </c>
      <c r="N240" s="547">
        <f t="shared" si="82"/>
        <v>0</v>
      </c>
      <c r="O240" s="130">
        <f t="shared" si="81"/>
        <v>0</v>
      </c>
      <c r="P240" s="131">
        <f>+M240*N240</f>
        <v>0</v>
      </c>
      <c r="Q240" s="578">
        <f t="shared" si="94"/>
        <v>2</v>
      </c>
      <c r="R240" s="587"/>
      <c r="S240" s="482"/>
      <c r="T240" s="482"/>
      <c r="U240" s="482"/>
      <c r="V240" s="482"/>
      <c r="W240" s="482"/>
      <c r="X240" s="482"/>
      <c r="Y240" s="482"/>
      <c r="Z240" s="482"/>
      <c r="AA240" s="482"/>
      <c r="AB240" s="482"/>
      <c r="AC240" s="482"/>
      <c r="AD240" s="482"/>
      <c r="AE240" s="482"/>
      <c r="AF240" s="482"/>
      <c r="AG240" s="482"/>
      <c r="AH240" s="482"/>
      <c r="AI240" s="482"/>
      <c r="AJ240" s="482"/>
      <c r="AK240" s="482"/>
      <c r="AL240" s="482"/>
      <c r="AM240" s="482"/>
      <c r="AN240" s="482"/>
      <c r="AO240" s="482"/>
      <c r="AP240" s="482"/>
      <c r="AQ240" s="482"/>
      <c r="AR240" s="482"/>
      <c r="AS240" s="482"/>
      <c r="AT240" s="482"/>
      <c r="AU240" s="482"/>
      <c r="AV240" s="482"/>
      <c r="AW240" s="483"/>
      <c r="AX240" s="484">
        <f t="shared" si="98"/>
        <v>0</v>
      </c>
      <c r="AY240" s="501" t="str">
        <f t="shared" si="89"/>
        <v/>
      </c>
      <c r="AZ240" s="488">
        <f t="shared" si="90"/>
        <v>0</v>
      </c>
    </row>
    <row r="241" spans="1:52" s="57" customFormat="1" ht="24.9" customHeight="1" x14ac:dyDescent="0.25">
      <c r="A241" s="424" t="s">
        <v>362</v>
      </c>
      <c r="B241" s="97" t="s">
        <v>273</v>
      </c>
      <c r="C241" s="97" t="s">
        <v>877</v>
      </c>
      <c r="D241" s="145" t="s">
        <v>765</v>
      </c>
      <c r="E241" s="415" t="s">
        <v>171</v>
      </c>
      <c r="F241" s="414" t="s">
        <v>878</v>
      </c>
      <c r="G241" s="127">
        <v>5.25</v>
      </c>
      <c r="H241" s="97" t="str">
        <f>VLOOKUP($F241,'Leistungswerte UHR Kigas'!$C$6:$F$32,3,FALSE)</f>
        <v>M1</v>
      </c>
      <c r="I241" s="328">
        <f>VLOOKUP(H241,Turnus!$H$9:$I$26,2,FALSE)</f>
        <v>12</v>
      </c>
      <c r="J241" s="127">
        <f t="shared" ref="J241" si="128">+G241*I241</f>
        <v>63</v>
      </c>
      <c r="K241" s="128">
        <f>VLOOKUP($F241,'Leistungswerte UHR Kigas'!$C$6:$F$44,4,FALSE)</f>
        <v>0</v>
      </c>
      <c r="L241" s="496" t="str">
        <f t="shared" si="97"/>
        <v/>
      </c>
      <c r="M241" s="129">
        <f t="shared" ref="M241" si="129">IF(ISERROR(J241/K241),0,J241/K241)</f>
        <v>0</v>
      </c>
      <c r="N241" s="547">
        <f t="shared" si="82"/>
        <v>0</v>
      </c>
      <c r="O241" s="130">
        <f t="shared" ref="O241" si="130">IF(ISERROR(G241/K241*N241),0,G241/K241*N241)</f>
        <v>0</v>
      </c>
      <c r="P241" s="131">
        <f t="shared" ref="P241" si="131">+M241*N241</f>
        <v>0</v>
      </c>
      <c r="Q241" s="578">
        <f t="shared" si="94"/>
        <v>2</v>
      </c>
      <c r="R241" s="587"/>
      <c r="S241" s="482"/>
      <c r="T241" s="482"/>
      <c r="U241" s="482"/>
      <c r="V241" s="482"/>
      <c r="W241" s="482"/>
      <c r="X241" s="482"/>
      <c r="Y241" s="482"/>
      <c r="Z241" s="482"/>
      <c r="AA241" s="482"/>
      <c r="AB241" s="482"/>
      <c r="AC241" s="482"/>
      <c r="AD241" s="482"/>
      <c r="AE241" s="482"/>
      <c r="AF241" s="482"/>
      <c r="AG241" s="482"/>
      <c r="AH241" s="482"/>
      <c r="AI241" s="482"/>
      <c r="AJ241" s="482"/>
      <c r="AK241" s="482"/>
      <c r="AL241" s="482"/>
      <c r="AM241" s="482"/>
      <c r="AN241" s="482"/>
      <c r="AO241" s="482"/>
      <c r="AP241" s="482"/>
      <c r="AQ241" s="482"/>
      <c r="AR241" s="482"/>
      <c r="AS241" s="482"/>
      <c r="AT241" s="482"/>
      <c r="AU241" s="482"/>
      <c r="AV241" s="482"/>
      <c r="AW241" s="483"/>
      <c r="AX241" s="484">
        <f t="shared" si="98"/>
        <v>0</v>
      </c>
      <c r="AY241" s="501" t="str">
        <f t="shared" si="89"/>
        <v/>
      </c>
      <c r="AZ241" s="488">
        <f t="shared" si="90"/>
        <v>0</v>
      </c>
    </row>
    <row r="242" spans="1:52" s="57" customFormat="1" ht="24.9" customHeight="1" x14ac:dyDescent="0.25">
      <c r="A242" s="424" t="s">
        <v>362</v>
      </c>
      <c r="B242" s="97" t="s">
        <v>273</v>
      </c>
      <c r="C242" s="97" t="s">
        <v>764</v>
      </c>
      <c r="D242" s="145" t="s">
        <v>766</v>
      </c>
      <c r="E242" s="415" t="s">
        <v>169</v>
      </c>
      <c r="F242" s="414" t="s">
        <v>879</v>
      </c>
      <c r="G242" s="127">
        <v>14.95</v>
      </c>
      <c r="H242" s="97" t="str">
        <f>VLOOKUP($F242,'Leistungswerte UHR Kigas'!$C$6:$F$32,3,FALSE)</f>
        <v>M1</v>
      </c>
      <c r="I242" s="328">
        <f>VLOOKUP(H242,Turnus!$H$9:$I$26,2,FALSE)</f>
        <v>12</v>
      </c>
      <c r="J242" s="127">
        <f t="shared" ref="J242" si="132">+G242*I242</f>
        <v>179.39999999999998</v>
      </c>
      <c r="K242" s="128">
        <f>VLOOKUP($F242,'Leistungswerte UHR Kigas'!$C$6:$F$44,4,FALSE)</f>
        <v>0</v>
      </c>
      <c r="L242" s="496" t="str">
        <f t="shared" si="97"/>
        <v/>
      </c>
      <c r="M242" s="129">
        <f t="shared" ref="M242" si="133">IF(ISERROR(J242/K242),0,J242/K242)</f>
        <v>0</v>
      </c>
      <c r="N242" s="547">
        <f t="shared" si="82"/>
        <v>0</v>
      </c>
      <c r="O242" s="130">
        <f t="shared" ref="O242" si="134">IF(ISERROR(G242/K242*N242),0,G242/K242*N242)</f>
        <v>0</v>
      </c>
      <c r="P242" s="131">
        <f t="shared" ref="P242" si="135">+M242*N242</f>
        <v>0</v>
      </c>
      <c r="Q242" s="578">
        <f t="shared" si="94"/>
        <v>2</v>
      </c>
      <c r="R242" s="587"/>
      <c r="S242" s="482"/>
      <c r="T242" s="482"/>
      <c r="U242" s="482"/>
      <c r="V242" s="482"/>
      <c r="W242" s="482"/>
      <c r="X242" s="482"/>
      <c r="Y242" s="482"/>
      <c r="Z242" s="482"/>
      <c r="AA242" s="482"/>
      <c r="AB242" s="482"/>
      <c r="AC242" s="482"/>
      <c r="AD242" s="482"/>
      <c r="AE242" s="482"/>
      <c r="AF242" s="482"/>
      <c r="AG242" s="482"/>
      <c r="AH242" s="482"/>
      <c r="AI242" s="482"/>
      <c r="AJ242" s="482"/>
      <c r="AK242" s="482"/>
      <c r="AL242" s="482"/>
      <c r="AM242" s="482"/>
      <c r="AN242" s="482"/>
      <c r="AO242" s="482"/>
      <c r="AP242" s="482"/>
      <c r="AQ242" s="482"/>
      <c r="AR242" s="482"/>
      <c r="AS242" s="482"/>
      <c r="AT242" s="482"/>
      <c r="AU242" s="482"/>
      <c r="AV242" s="482"/>
      <c r="AW242" s="483"/>
      <c r="AX242" s="484">
        <f t="shared" si="98"/>
        <v>0</v>
      </c>
      <c r="AY242" s="501" t="str">
        <f t="shared" si="89"/>
        <v/>
      </c>
      <c r="AZ242" s="488">
        <f t="shared" si="90"/>
        <v>0</v>
      </c>
    </row>
    <row r="243" spans="1:52" s="57" customFormat="1" ht="24.9" customHeight="1" x14ac:dyDescent="0.25">
      <c r="A243" s="424" t="s">
        <v>362</v>
      </c>
      <c r="B243" s="97" t="s">
        <v>273</v>
      </c>
      <c r="C243" s="97" t="s">
        <v>767</v>
      </c>
      <c r="D243" s="145" t="s">
        <v>768</v>
      </c>
      <c r="E243" s="415" t="s">
        <v>171</v>
      </c>
      <c r="F243" s="414" t="s">
        <v>708</v>
      </c>
      <c r="G243" s="127">
        <v>23.7</v>
      </c>
      <c r="H243" s="97" t="str">
        <f>VLOOKUP($F243,'Leistungswerte UHR Kigas'!$C$6:$F$32,3,FALSE)</f>
        <v>kR</v>
      </c>
      <c r="I243" s="328">
        <f>VLOOKUP(H243,Turnus!$H$9:$I$26,2,FALSE)</f>
        <v>0</v>
      </c>
      <c r="J243" s="127">
        <f t="shared" ref="J243:J245" si="136">+G243*I243</f>
        <v>0</v>
      </c>
      <c r="K243" s="128">
        <f>VLOOKUP($F243,'Leistungswerte UHR Kigas'!$C$6:$F$44,4,FALSE)</f>
        <v>0</v>
      </c>
      <c r="L243" s="496" t="str">
        <f t="shared" si="97"/>
        <v/>
      </c>
      <c r="M243" s="129">
        <f t="shared" ref="M243:M245" si="137">IF(ISERROR(J243/K243),0,J243/K243)</f>
        <v>0</v>
      </c>
      <c r="N243" s="547">
        <f t="shared" si="82"/>
        <v>0</v>
      </c>
      <c r="O243" s="130">
        <f t="shared" ref="O243:O245" si="138">IF(ISERROR(G243/K243*N243),0,G243/K243*N243)</f>
        <v>0</v>
      </c>
      <c r="P243" s="131">
        <f t="shared" ref="P243:P245" si="139">+M243*N243</f>
        <v>0</v>
      </c>
      <c r="Q243" s="578">
        <f t="shared" si="94"/>
        <v>2</v>
      </c>
      <c r="R243" s="587"/>
      <c r="S243" s="482"/>
      <c r="T243" s="482"/>
      <c r="U243" s="482"/>
      <c r="V243" s="482"/>
      <c r="W243" s="482"/>
      <c r="X243" s="482"/>
      <c r="Y243" s="482"/>
      <c r="Z243" s="482"/>
      <c r="AA243" s="482"/>
      <c r="AB243" s="482"/>
      <c r="AC243" s="482"/>
      <c r="AD243" s="482"/>
      <c r="AE243" s="482"/>
      <c r="AF243" s="482"/>
      <c r="AG243" s="482"/>
      <c r="AH243" s="482"/>
      <c r="AI243" s="482"/>
      <c r="AJ243" s="482"/>
      <c r="AK243" s="482"/>
      <c r="AL243" s="482"/>
      <c r="AM243" s="482"/>
      <c r="AN243" s="482"/>
      <c r="AO243" s="482"/>
      <c r="AP243" s="482"/>
      <c r="AQ243" s="482"/>
      <c r="AR243" s="482"/>
      <c r="AS243" s="482"/>
      <c r="AT243" s="482"/>
      <c r="AU243" s="482"/>
      <c r="AV243" s="482"/>
      <c r="AW243" s="483"/>
      <c r="AX243" s="484">
        <f t="shared" si="98"/>
        <v>0</v>
      </c>
      <c r="AY243" s="501" t="str">
        <f t="shared" si="89"/>
        <v/>
      </c>
      <c r="AZ243" s="488">
        <f t="shared" si="90"/>
        <v>0</v>
      </c>
    </row>
    <row r="244" spans="1:52" s="57" customFormat="1" ht="24.9" customHeight="1" x14ac:dyDescent="0.25">
      <c r="A244" s="425" t="s">
        <v>361</v>
      </c>
      <c r="B244" s="97" t="s">
        <v>273</v>
      </c>
      <c r="C244" s="97" t="s">
        <v>873</v>
      </c>
      <c r="D244" s="145" t="s">
        <v>611</v>
      </c>
      <c r="E244" s="415" t="s">
        <v>870</v>
      </c>
      <c r="F244" s="414" t="s">
        <v>875</v>
      </c>
      <c r="G244" s="127">
        <v>22.9</v>
      </c>
      <c r="H244" s="97" t="str">
        <f>VLOOKUP($F244,'Leistungswerte UHR Schulen'!$C$6:$F$38,3,FALSE)</f>
        <v>M1</v>
      </c>
      <c r="I244" s="328">
        <f>VLOOKUP(H244,Turnus!$D$9:$E$26,2,FALSE)</f>
        <v>11</v>
      </c>
      <c r="J244" s="127">
        <f t="shared" si="136"/>
        <v>251.89999999999998</v>
      </c>
      <c r="K244" s="128">
        <f>VLOOKUP($F244,'Leistungswerte UHR Schulen'!$C$6:$F$38,4,FALSE)</f>
        <v>0</v>
      </c>
      <c r="L244" s="496" t="str">
        <f t="shared" si="97"/>
        <v/>
      </c>
      <c r="M244" s="129">
        <f t="shared" si="137"/>
        <v>0</v>
      </c>
      <c r="N244" s="547">
        <f t="shared" si="82"/>
        <v>0</v>
      </c>
      <c r="O244" s="130">
        <f t="shared" si="138"/>
        <v>0</v>
      </c>
      <c r="P244" s="131">
        <f t="shared" si="139"/>
        <v>0</v>
      </c>
      <c r="Q244" s="578">
        <f t="shared" si="94"/>
        <v>1</v>
      </c>
      <c r="R244" s="587"/>
      <c r="S244" s="482"/>
      <c r="T244" s="482"/>
      <c r="U244" s="482"/>
      <c r="V244" s="482"/>
      <c r="W244" s="482"/>
      <c r="X244" s="482"/>
      <c r="Y244" s="482"/>
      <c r="Z244" s="482"/>
      <c r="AA244" s="482"/>
      <c r="AB244" s="482"/>
      <c r="AC244" s="482"/>
      <c r="AD244" s="482"/>
      <c r="AE244" s="482"/>
      <c r="AF244" s="482"/>
      <c r="AG244" s="482"/>
      <c r="AH244" s="482"/>
      <c r="AI244" s="482"/>
      <c r="AJ244" s="482"/>
      <c r="AK244" s="482"/>
      <c r="AL244" s="482"/>
      <c r="AM244" s="482"/>
      <c r="AN244" s="482"/>
      <c r="AO244" s="482"/>
      <c r="AP244" s="482"/>
      <c r="AQ244" s="482"/>
      <c r="AR244" s="482"/>
      <c r="AS244" s="482"/>
      <c r="AT244" s="482"/>
      <c r="AU244" s="482"/>
      <c r="AV244" s="482"/>
      <c r="AW244" s="483"/>
      <c r="AX244" s="484">
        <f t="shared" si="98"/>
        <v>0</v>
      </c>
      <c r="AY244" s="501" t="str">
        <f t="shared" si="89"/>
        <v/>
      </c>
      <c r="AZ244" s="488">
        <f t="shared" si="90"/>
        <v>0</v>
      </c>
    </row>
    <row r="245" spans="1:52" s="57" customFormat="1" ht="24.9" customHeight="1" x14ac:dyDescent="0.25">
      <c r="A245" s="425" t="s">
        <v>361</v>
      </c>
      <c r="B245" s="97" t="s">
        <v>273</v>
      </c>
      <c r="C245" s="97" t="s">
        <v>769</v>
      </c>
      <c r="D245" s="145" t="s">
        <v>758</v>
      </c>
      <c r="E245" s="415" t="s">
        <v>870</v>
      </c>
      <c r="F245" s="414" t="s">
        <v>708</v>
      </c>
      <c r="G245" s="127">
        <v>101.92</v>
      </c>
      <c r="H245" s="97" t="str">
        <f>VLOOKUP($F245,'Leistungswerte UHR Schulen'!$C$6:$F$38,3,FALSE)</f>
        <v>kR</v>
      </c>
      <c r="I245" s="328">
        <f>VLOOKUP(H245,Turnus!$D$9:$E$26,2,FALSE)</f>
        <v>0</v>
      </c>
      <c r="J245" s="127">
        <f t="shared" si="136"/>
        <v>0</v>
      </c>
      <c r="K245" s="128">
        <f>VLOOKUP($F245,'Leistungswerte UHR Schulen'!$C$6:$F$38,4,FALSE)</f>
        <v>0</v>
      </c>
      <c r="L245" s="496" t="str">
        <f t="shared" si="97"/>
        <v/>
      </c>
      <c r="M245" s="129">
        <f t="shared" si="137"/>
        <v>0</v>
      </c>
      <c r="N245" s="547">
        <f t="shared" si="82"/>
        <v>0</v>
      </c>
      <c r="O245" s="130">
        <f t="shared" si="138"/>
        <v>0</v>
      </c>
      <c r="P245" s="131">
        <f t="shared" si="139"/>
        <v>0</v>
      </c>
      <c r="Q245" s="578">
        <f t="shared" si="94"/>
        <v>1</v>
      </c>
      <c r="R245" s="587"/>
      <c r="S245" s="482"/>
      <c r="T245" s="482"/>
      <c r="U245" s="482"/>
      <c r="V245" s="482"/>
      <c r="W245" s="482"/>
      <c r="X245" s="482"/>
      <c r="Y245" s="482"/>
      <c r="Z245" s="482"/>
      <c r="AA245" s="482"/>
      <c r="AB245" s="482"/>
      <c r="AC245" s="482"/>
      <c r="AD245" s="482"/>
      <c r="AE245" s="482"/>
      <c r="AF245" s="482"/>
      <c r="AG245" s="482"/>
      <c r="AH245" s="482"/>
      <c r="AI245" s="482"/>
      <c r="AJ245" s="482"/>
      <c r="AK245" s="482"/>
      <c r="AL245" s="482"/>
      <c r="AM245" s="482"/>
      <c r="AN245" s="482"/>
      <c r="AO245" s="482"/>
      <c r="AP245" s="482"/>
      <c r="AQ245" s="482"/>
      <c r="AR245" s="482"/>
      <c r="AS245" s="482"/>
      <c r="AT245" s="482"/>
      <c r="AU245" s="482"/>
      <c r="AV245" s="482"/>
      <c r="AW245" s="483"/>
      <c r="AX245" s="484">
        <f t="shared" si="98"/>
        <v>0</v>
      </c>
      <c r="AY245" s="501" t="str">
        <f t="shared" si="89"/>
        <v/>
      </c>
      <c r="AZ245" s="488">
        <f t="shared" si="90"/>
        <v>0</v>
      </c>
    </row>
    <row r="246" spans="1:52" s="57" customFormat="1" ht="24.9" customHeight="1" x14ac:dyDescent="0.25">
      <c r="A246" s="425" t="s">
        <v>361</v>
      </c>
      <c r="B246" s="97" t="s">
        <v>273</v>
      </c>
      <c r="C246" s="97" t="s">
        <v>770</v>
      </c>
      <c r="D246" s="145" t="s">
        <v>771</v>
      </c>
      <c r="E246" s="415" t="s">
        <v>870</v>
      </c>
      <c r="F246" s="414" t="s">
        <v>709</v>
      </c>
      <c r="G246" s="127">
        <v>12.26</v>
      </c>
      <c r="H246" s="97" t="str">
        <f>VLOOKUP($F246,'Leistungswerte UHR Schulen'!$C$6:$F$38,3,FALSE)</f>
        <v>J1</v>
      </c>
      <c r="I246" s="328">
        <f>VLOOKUP(H246,Turnus!$D$9:$E$26,2,FALSE)</f>
        <v>1</v>
      </c>
      <c r="J246" s="127">
        <f t="shared" ref="J246:J247" si="140">+G246*I246</f>
        <v>12.26</v>
      </c>
      <c r="K246" s="128">
        <f>VLOOKUP($F246,'Leistungswerte UHR Schulen'!$C$6:$F$38,4,FALSE)</f>
        <v>0</v>
      </c>
      <c r="L246" s="496" t="str">
        <f t="shared" si="97"/>
        <v/>
      </c>
      <c r="M246" s="129">
        <f t="shared" ref="M246:M247" si="141">IF(ISERROR(J246/K246),0,J246/K246)</f>
        <v>0</v>
      </c>
      <c r="N246" s="547">
        <f t="shared" si="82"/>
        <v>0</v>
      </c>
      <c r="O246" s="130">
        <f t="shared" ref="O246:O247" si="142">IF(ISERROR(G246/K246*N246),0,G246/K246*N246)</f>
        <v>0</v>
      </c>
      <c r="P246" s="131">
        <f t="shared" ref="P246:P247" si="143">+M246*N246</f>
        <v>0</v>
      </c>
      <c r="Q246" s="578">
        <f t="shared" si="94"/>
        <v>1</v>
      </c>
      <c r="R246" s="587"/>
      <c r="S246" s="482"/>
      <c r="T246" s="482"/>
      <c r="U246" s="482"/>
      <c r="V246" s="482"/>
      <c r="W246" s="482"/>
      <c r="X246" s="482"/>
      <c r="Y246" s="482"/>
      <c r="Z246" s="482"/>
      <c r="AA246" s="482"/>
      <c r="AB246" s="482"/>
      <c r="AC246" s="482"/>
      <c r="AD246" s="482"/>
      <c r="AE246" s="482"/>
      <c r="AF246" s="482"/>
      <c r="AG246" s="482"/>
      <c r="AH246" s="482"/>
      <c r="AI246" s="482"/>
      <c r="AJ246" s="482"/>
      <c r="AK246" s="482"/>
      <c r="AL246" s="482"/>
      <c r="AM246" s="482"/>
      <c r="AN246" s="482"/>
      <c r="AO246" s="482"/>
      <c r="AP246" s="482"/>
      <c r="AQ246" s="482"/>
      <c r="AR246" s="482"/>
      <c r="AS246" s="482"/>
      <c r="AT246" s="482"/>
      <c r="AU246" s="482"/>
      <c r="AV246" s="482"/>
      <c r="AW246" s="483"/>
      <c r="AX246" s="484">
        <f t="shared" si="98"/>
        <v>0</v>
      </c>
      <c r="AY246" s="501" t="str">
        <f t="shared" si="89"/>
        <v/>
      </c>
      <c r="AZ246" s="488">
        <f t="shared" si="90"/>
        <v>0</v>
      </c>
    </row>
    <row r="247" spans="1:52" s="57" customFormat="1" ht="24.9" customHeight="1" x14ac:dyDescent="0.25">
      <c r="A247" s="425" t="s">
        <v>361</v>
      </c>
      <c r="B247" s="97" t="s">
        <v>273</v>
      </c>
      <c r="C247" s="97" t="s">
        <v>772</v>
      </c>
      <c r="D247" s="145" t="s">
        <v>758</v>
      </c>
      <c r="E247" s="415" t="s">
        <v>870</v>
      </c>
      <c r="F247" s="414" t="s">
        <v>708</v>
      </c>
      <c r="G247" s="127">
        <v>40.97</v>
      </c>
      <c r="H247" s="97" t="str">
        <f>VLOOKUP($F247,'Leistungswerte UHR Schulen'!$C$6:$F$38,3,FALSE)</f>
        <v>kR</v>
      </c>
      <c r="I247" s="328">
        <f>VLOOKUP(H247,Turnus!$D$9:$E$26,2,FALSE)</f>
        <v>0</v>
      </c>
      <c r="J247" s="127">
        <f t="shared" si="140"/>
        <v>0</v>
      </c>
      <c r="K247" s="128">
        <f>VLOOKUP($F247,'Leistungswerte UHR Schulen'!$C$6:$F$38,4,FALSE)</f>
        <v>0</v>
      </c>
      <c r="L247" s="496" t="str">
        <f t="shared" si="97"/>
        <v/>
      </c>
      <c r="M247" s="129">
        <f t="shared" si="141"/>
        <v>0</v>
      </c>
      <c r="N247" s="547">
        <f t="shared" si="82"/>
        <v>0</v>
      </c>
      <c r="O247" s="130">
        <f t="shared" si="142"/>
        <v>0</v>
      </c>
      <c r="P247" s="131">
        <f t="shared" si="143"/>
        <v>0</v>
      </c>
      <c r="Q247" s="578">
        <f t="shared" si="94"/>
        <v>1</v>
      </c>
      <c r="R247" s="587"/>
      <c r="S247" s="482"/>
      <c r="T247" s="482"/>
      <c r="U247" s="482"/>
      <c r="V247" s="482"/>
      <c r="W247" s="482"/>
      <c r="X247" s="482"/>
      <c r="Y247" s="482"/>
      <c r="Z247" s="482"/>
      <c r="AA247" s="482"/>
      <c r="AB247" s="482"/>
      <c r="AC247" s="482"/>
      <c r="AD247" s="482"/>
      <c r="AE247" s="482"/>
      <c r="AF247" s="482"/>
      <c r="AG247" s="482"/>
      <c r="AH247" s="482"/>
      <c r="AI247" s="482"/>
      <c r="AJ247" s="482"/>
      <c r="AK247" s="482"/>
      <c r="AL247" s="482"/>
      <c r="AM247" s="482"/>
      <c r="AN247" s="482"/>
      <c r="AO247" s="482"/>
      <c r="AP247" s="482"/>
      <c r="AQ247" s="482"/>
      <c r="AR247" s="482"/>
      <c r="AS247" s="482"/>
      <c r="AT247" s="482"/>
      <c r="AU247" s="482"/>
      <c r="AV247" s="482"/>
      <c r="AW247" s="483"/>
      <c r="AX247" s="484">
        <f t="shared" si="98"/>
        <v>0</v>
      </c>
      <c r="AY247" s="501" t="str">
        <f t="shared" si="89"/>
        <v/>
      </c>
      <c r="AZ247" s="488">
        <f t="shared" si="90"/>
        <v>0</v>
      </c>
    </row>
    <row r="248" spans="1:52" s="57" customFormat="1" ht="24.9" customHeight="1" x14ac:dyDescent="0.25">
      <c r="A248" s="425" t="s">
        <v>361</v>
      </c>
      <c r="B248" s="97" t="s">
        <v>273</v>
      </c>
      <c r="C248" s="97" t="s">
        <v>614</v>
      </c>
      <c r="D248" s="145" t="s">
        <v>102</v>
      </c>
      <c r="E248" s="415" t="s">
        <v>169</v>
      </c>
      <c r="F248" s="414" t="s">
        <v>862</v>
      </c>
      <c r="G248" s="127">
        <v>22.38</v>
      </c>
      <c r="H248" s="97" t="str">
        <f>VLOOKUP($F248,'Leistungswerte UHR Schulen'!$C$6:$F$38,3,FALSE)</f>
        <v>M1</v>
      </c>
      <c r="I248" s="328">
        <f>VLOOKUP(H248,Turnus!$D$9:$E$26,2,FALSE)</f>
        <v>11</v>
      </c>
      <c r="J248" s="127">
        <f t="shared" si="79"/>
        <v>246.17999999999998</v>
      </c>
      <c r="K248" s="128">
        <f>VLOOKUP($F248,'Leistungswerte UHR Schulen'!$C$6:$F$38,4,FALSE)</f>
        <v>0</v>
      </c>
      <c r="L248" s="496" t="str">
        <f t="shared" si="97"/>
        <v/>
      </c>
      <c r="M248" s="129">
        <f t="shared" si="80"/>
        <v>0</v>
      </c>
      <c r="N248" s="547">
        <f t="shared" si="82"/>
        <v>0</v>
      </c>
      <c r="O248" s="130">
        <f t="shared" si="81"/>
        <v>0</v>
      </c>
      <c r="P248" s="131">
        <f>+M248*N248</f>
        <v>0</v>
      </c>
      <c r="Q248" s="578">
        <f t="shared" si="94"/>
        <v>1</v>
      </c>
      <c r="R248" s="587"/>
      <c r="S248" s="482"/>
      <c r="T248" s="482"/>
      <c r="U248" s="482"/>
      <c r="V248" s="482"/>
      <c r="W248" s="482"/>
      <c r="X248" s="482"/>
      <c r="Y248" s="482"/>
      <c r="Z248" s="482"/>
      <c r="AA248" s="482"/>
      <c r="AB248" s="482"/>
      <c r="AC248" s="482"/>
      <c r="AD248" s="482"/>
      <c r="AE248" s="482"/>
      <c r="AF248" s="482"/>
      <c r="AG248" s="482"/>
      <c r="AH248" s="482"/>
      <c r="AI248" s="482"/>
      <c r="AJ248" s="482"/>
      <c r="AK248" s="482"/>
      <c r="AL248" s="482"/>
      <c r="AM248" s="482"/>
      <c r="AN248" s="482"/>
      <c r="AO248" s="482"/>
      <c r="AP248" s="482"/>
      <c r="AQ248" s="482"/>
      <c r="AR248" s="482"/>
      <c r="AS248" s="482"/>
      <c r="AT248" s="482"/>
      <c r="AU248" s="482"/>
      <c r="AV248" s="482"/>
      <c r="AW248" s="483"/>
      <c r="AX248" s="484">
        <f t="shared" si="98"/>
        <v>0</v>
      </c>
      <c r="AY248" s="501" t="str">
        <f t="shared" si="89"/>
        <v/>
      </c>
      <c r="AZ248" s="488">
        <f t="shared" si="90"/>
        <v>0</v>
      </c>
    </row>
    <row r="249" spans="1:52" s="57" customFormat="1" ht="24.9" customHeight="1" x14ac:dyDescent="0.25">
      <c r="A249" s="425" t="s">
        <v>361</v>
      </c>
      <c r="B249" s="97" t="s">
        <v>273</v>
      </c>
      <c r="C249" s="97" t="s">
        <v>615</v>
      </c>
      <c r="D249" s="145" t="s">
        <v>102</v>
      </c>
      <c r="E249" s="415" t="s">
        <v>169</v>
      </c>
      <c r="F249" s="414" t="s">
        <v>862</v>
      </c>
      <c r="G249" s="127">
        <v>29.67</v>
      </c>
      <c r="H249" s="97" t="str">
        <f>VLOOKUP($F249,'Leistungswerte UHR Schulen'!$C$6:$F$38,3,FALSE)</f>
        <v>M1</v>
      </c>
      <c r="I249" s="328">
        <f>VLOOKUP(H249,Turnus!$D$9:$E$26,2,FALSE)</f>
        <v>11</v>
      </c>
      <c r="J249" s="127">
        <f t="shared" si="79"/>
        <v>326.37</v>
      </c>
      <c r="K249" s="128">
        <f>VLOOKUP($F249,'Leistungswerte UHR Schulen'!$C$6:$F$38,4,FALSE)</f>
        <v>0</v>
      </c>
      <c r="L249" s="496" t="str">
        <f t="shared" si="97"/>
        <v/>
      </c>
      <c r="M249" s="129">
        <f t="shared" si="80"/>
        <v>0</v>
      </c>
      <c r="N249" s="547">
        <f t="shared" si="82"/>
        <v>0</v>
      </c>
      <c r="O249" s="130">
        <f t="shared" si="81"/>
        <v>0</v>
      </c>
      <c r="P249" s="131">
        <f>+M249*N249</f>
        <v>0</v>
      </c>
      <c r="Q249" s="578">
        <f t="shared" si="94"/>
        <v>1</v>
      </c>
      <c r="R249" s="587"/>
      <c r="S249" s="482"/>
      <c r="T249" s="482"/>
      <c r="U249" s="482"/>
      <c r="V249" s="482"/>
      <c r="W249" s="482"/>
      <c r="X249" s="482"/>
      <c r="Y249" s="482"/>
      <c r="Z249" s="482"/>
      <c r="AA249" s="482"/>
      <c r="AB249" s="482"/>
      <c r="AC249" s="482"/>
      <c r="AD249" s="482"/>
      <c r="AE249" s="482"/>
      <c r="AF249" s="482"/>
      <c r="AG249" s="482"/>
      <c r="AH249" s="482"/>
      <c r="AI249" s="482"/>
      <c r="AJ249" s="482"/>
      <c r="AK249" s="482"/>
      <c r="AL249" s="482"/>
      <c r="AM249" s="482"/>
      <c r="AN249" s="482"/>
      <c r="AO249" s="482"/>
      <c r="AP249" s="482"/>
      <c r="AQ249" s="482"/>
      <c r="AR249" s="482"/>
      <c r="AS249" s="482"/>
      <c r="AT249" s="482"/>
      <c r="AU249" s="482"/>
      <c r="AV249" s="482"/>
      <c r="AW249" s="483"/>
      <c r="AX249" s="484">
        <f t="shared" si="98"/>
        <v>0</v>
      </c>
      <c r="AY249" s="501" t="str">
        <f t="shared" si="89"/>
        <v/>
      </c>
      <c r="AZ249" s="488">
        <f t="shared" si="90"/>
        <v>0</v>
      </c>
    </row>
    <row r="250" spans="1:52" s="57" customFormat="1" ht="24.9" customHeight="1" x14ac:dyDescent="0.25">
      <c r="A250" s="425" t="s">
        <v>361</v>
      </c>
      <c r="B250" s="97" t="s">
        <v>273</v>
      </c>
      <c r="C250" s="97" t="s">
        <v>616</v>
      </c>
      <c r="D250" s="145" t="s">
        <v>102</v>
      </c>
      <c r="E250" s="230" t="s">
        <v>169</v>
      </c>
      <c r="F250" s="414" t="s">
        <v>862</v>
      </c>
      <c r="G250" s="127">
        <v>8.33</v>
      </c>
      <c r="H250" s="97" t="str">
        <f>VLOOKUP($F250,'Leistungswerte UHR Schulen'!$C$6:$F$38,3,FALSE)</f>
        <v>M1</v>
      </c>
      <c r="I250" s="328">
        <f>VLOOKUP(H250,Turnus!$D$9:$E$26,2,FALSE)</f>
        <v>11</v>
      </c>
      <c r="J250" s="127">
        <f t="shared" si="79"/>
        <v>91.63</v>
      </c>
      <c r="K250" s="128">
        <f>VLOOKUP($F250,'Leistungswerte UHR Schulen'!$C$6:$F$38,4,FALSE)</f>
        <v>0</v>
      </c>
      <c r="L250" s="496" t="str">
        <f t="shared" si="97"/>
        <v/>
      </c>
      <c r="M250" s="129">
        <f t="shared" si="80"/>
        <v>0</v>
      </c>
      <c r="N250" s="547">
        <f t="shared" si="82"/>
        <v>0</v>
      </c>
      <c r="O250" s="130">
        <f t="shared" si="81"/>
        <v>0</v>
      </c>
      <c r="P250" s="131">
        <f>+M250*N250</f>
        <v>0</v>
      </c>
      <c r="Q250" s="578">
        <f t="shared" si="94"/>
        <v>1</v>
      </c>
      <c r="R250" s="587"/>
      <c r="S250" s="482"/>
      <c r="T250" s="482"/>
      <c r="U250" s="482"/>
      <c r="V250" s="482"/>
      <c r="W250" s="482"/>
      <c r="X250" s="482"/>
      <c r="Y250" s="482"/>
      <c r="Z250" s="482"/>
      <c r="AA250" s="482"/>
      <c r="AB250" s="482"/>
      <c r="AC250" s="482"/>
      <c r="AD250" s="482"/>
      <c r="AE250" s="482"/>
      <c r="AF250" s="482"/>
      <c r="AG250" s="482"/>
      <c r="AH250" s="482"/>
      <c r="AI250" s="482"/>
      <c r="AJ250" s="482"/>
      <c r="AK250" s="482"/>
      <c r="AL250" s="482"/>
      <c r="AM250" s="482"/>
      <c r="AN250" s="482"/>
      <c r="AO250" s="482"/>
      <c r="AP250" s="482"/>
      <c r="AQ250" s="482"/>
      <c r="AR250" s="482"/>
      <c r="AS250" s="482"/>
      <c r="AT250" s="482"/>
      <c r="AU250" s="482"/>
      <c r="AV250" s="482"/>
      <c r="AW250" s="483"/>
      <c r="AX250" s="484">
        <f t="shared" si="98"/>
        <v>0</v>
      </c>
      <c r="AY250" s="501" t="str">
        <f t="shared" si="89"/>
        <v/>
      </c>
      <c r="AZ250" s="488">
        <f t="shared" si="90"/>
        <v>0</v>
      </c>
    </row>
    <row r="251" spans="1:52" s="57" customFormat="1" ht="24.9" customHeight="1" x14ac:dyDescent="0.25">
      <c r="A251" s="425" t="s">
        <v>361</v>
      </c>
      <c r="B251" s="97" t="s">
        <v>273</v>
      </c>
      <c r="C251" s="97" t="s">
        <v>618</v>
      </c>
      <c r="D251" s="145" t="s">
        <v>910</v>
      </c>
      <c r="E251" s="230" t="s">
        <v>619</v>
      </c>
      <c r="F251" s="414" t="s">
        <v>708</v>
      </c>
      <c r="G251" s="127">
        <v>3.33</v>
      </c>
      <c r="H251" s="97" t="str">
        <f>VLOOKUP($F251,'Leistungswerte UHR Schulen'!$C$6:$F$38,3,FALSE)</f>
        <v>kR</v>
      </c>
      <c r="I251" s="328">
        <f>VLOOKUP(H251,Turnus!$D$9:$E$26,2,FALSE)</f>
        <v>0</v>
      </c>
      <c r="J251" s="127">
        <f t="shared" si="79"/>
        <v>0</v>
      </c>
      <c r="K251" s="128">
        <f>VLOOKUP($F251,'Leistungswerte UHR Schulen'!$C$6:$F$38,4,FALSE)</f>
        <v>0</v>
      </c>
      <c r="L251" s="496" t="str">
        <f t="shared" si="97"/>
        <v/>
      </c>
      <c r="M251" s="129">
        <f t="shared" si="80"/>
        <v>0</v>
      </c>
      <c r="N251" s="547">
        <f t="shared" si="82"/>
        <v>0</v>
      </c>
      <c r="O251" s="130">
        <f t="shared" si="81"/>
        <v>0</v>
      </c>
      <c r="P251" s="131">
        <f>+M251*N251</f>
        <v>0</v>
      </c>
      <c r="Q251" s="578">
        <f t="shared" si="94"/>
        <v>1</v>
      </c>
      <c r="R251" s="587"/>
      <c r="S251" s="482"/>
      <c r="T251" s="482"/>
      <c r="U251" s="482"/>
      <c r="V251" s="482"/>
      <c r="W251" s="482"/>
      <c r="X251" s="482"/>
      <c r="Y251" s="482"/>
      <c r="Z251" s="482"/>
      <c r="AA251" s="482"/>
      <c r="AB251" s="482"/>
      <c r="AC251" s="482"/>
      <c r="AD251" s="482"/>
      <c r="AE251" s="482"/>
      <c r="AF251" s="482"/>
      <c r="AG251" s="482"/>
      <c r="AH251" s="482"/>
      <c r="AI251" s="482"/>
      <c r="AJ251" s="482"/>
      <c r="AK251" s="482"/>
      <c r="AL251" s="482"/>
      <c r="AM251" s="482"/>
      <c r="AN251" s="482"/>
      <c r="AO251" s="482"/>
      <c r="AP251" s="482"/>
      <c r="AQ251" s="482"/>
      <c r="AR251" s="482"/>
      <c r="AS251" s="482"/>
      <c r="AT251" s="482"/>
      <c r="AU251" s="482"/>
      <c r="AV251" s="482"/>
      <c r="AW251" s="483"/>
      <c r="AX251" s="484">
        <f t="shared" si="98"/>
        <v>0</v>
      </c>
      <c r="AY251" s="501" t="str">
        <f t="shared" si="89"/>
        <v/>
      </c>
      <c r="AZ251" s="488">
        <f t="shared" si="90"/>
        <v>0</v>
      </c>
    </row>
    <row r="252" spans="1:52" s="57" customFormat="1" ht="26.25" customHeight="1" x14ac:dyDescent="0.3">
      <c r="A252" s="54"/>
      <c r="B252" s="54"/>
      <c r="C252" s="54"/>
      <c r="D252" s="54"/>
      <c r="E252" s="54"/>
      <c r="F252" s="54"/>
      <c r="G252" s="54"/>
      <c r="H252" s="55"/>
      <c r="I252" s="55"/>
      <c r="J252" s="55"/>
      <c r="K252" s="55"/>
      <c r="L252" s="471"/>
      <c r="M252" s="94"/>
      <c r="N252" s="99"/>
      <c r="O252" s="100"/>
      <c r="P252" s="413"/>
      <c r="Q252" s="576"/>
      <c r="R252" s="587"/>
      <c r="S252" s="485"/>
      <c r="T252" s="485"/>
      <c r="U252" s="485"/>
      <c r="V252" s="485"/>
      <c r="W252" s="485"/>
      <c r="X252" s="485"/>
      <c r="Y252" s="485"/>
      <c r="Z252" s="485"/>
      <c r="AA252" s="485"/>
      <c r="AB252" s="485"/>
      <c r="AC252" s="485"/>
      <c r="AD252" s="485"/>
      <c r="AE252" s="485"/>
      <c r="AF252" s="485"/>
      <c r="AG252" s="485"/>
      <c r="AH252" s="485"/>
      <c r="AI252" s="485"/>
      <c r="AJ252" s="485"/>
      <c r="AK252" s="485"/>
      <c r="AL252" s="485"/>
      <c r="AM252" s="485"/>
      <c r="AN252" s="485"/>
      <c r="AO252" s="485"/>
      <c r="AP252" s="485"/>
      <c r="AQ252" s="485"/>
      <c r="AR252" s="485"/>
      <c r="AS252" s="485"/>
      <c r="AT252" s="485"/>
      <c r="AU252" s="485"/>
      <c r="AV252" s="485"/>
      <c r="AW252" s="485"/>
      <c r="AX252" s="485"/>
      <c r="AY252" s="497">
        <f>SUM(AY8:AY251)</f>
        <v>0</v>
      </c>
      <c r="AZ252" s="489">
        <f>SUM(AZ8:AZ251)</f>
        <v>0</v>
      </c>
    </row>
    <row r="253" spans="1:52" s="105" customFormat="1" ht="13.2" x14ac:dyDescent="0.25">
      <c r="B253" s="59"/>
      <c r="C253" s="59"/>
      <c r="D253" s="59"/>
      <c r="E253" s="59"/>
      <c r="F253" s="59"/>
      <c r="G253" s="59"/>
      <c r="H253" s="58"/>
      <c r="I253" s="101"/>
      <c r="J253" s="101"/>
      <c r="K253" s="58"/>
      <c r="L253" s="58"/>
      <c r="N253" s="106"/>
      <c r="O253" s="107"/>
      <c r="P253" s="107"/>
      <c r="Q253" s="577"/>
      <c r="R253" s="1"/>
      <c r="S253" s="486"/>
      <c r="T253" s="486"/>
      <c r="U253" s="486"/>
      <c r="V253" s="486"/>
      <c r="W253" s="486"/>
      <c r="X253" s="486"/>
      <c r="Y253" s="486"/>
      <c r="Z253" s="486"/>
      <c r="AA253" s="486"/>
      <c r="AB253" s="486"/>
      <c r="AC253" s="486"/>
      <c r="AD253" s="486"/>
      <c r="AE253" s="486"/>
      <c r="AF253" s="486"/>
      <c r="AG253" s="486"/>
      <c r="AH253" s="486"/>
      <c r="AI253" s="486"/>
      <c r="AJ253" s="486"/>
      <c r="AK253" s="486"/>
      <c r="AL253" s="486"/>
      <c r="AM253" s="486"/>
      <c r="AN253" s="486"/>
      <c r="AO253" s="486"/>
      <c r="AP253" s="486"/>
      <c r="AQ253" s="486"/>
      <c r="AR253" s="486"/>
      <c r="AS253" s="486"/>
      <c r="AT253" s="486"/>
      <c r="AU253" s="486"/>
      <c r="AV253" s="486"/>
      <c r="AW253" s="486"/>
      <c r="AX253" s="486"/>
      <c r="AY253" s="486"/>
      <c r="AZ253" s="486"/>
    </row>
    <row r="254" spans="1:52" s="105" customFormat="1" ht="13.2" x14ac:dyDescent="0.25">
      <c r="B254" s="52"/>
      <c r="C254" s="52"/>
      <c r="D254" s="52"/>
      <c r="E254" s="59"/>
      <c r="F254" s="59"/>
      <c r="G254" s="59"/>
      <c r="H254" s="58"/>
      <c r="I254" s="101"/>
      <c r="J254" s="101"/>
      <c r="K254" s="58"/>
      <c r="L254" s="58"/>
      <c r="N254" s="106"/>
      <c r="O254" s="107"/>
      <c r="P254" s="107"/>
      <c r="Q254" s="577"/>
      <c r="R254" s="1"/>
      <c r="S254" s="486"/>
      <c r="T254" s="486"/>
      <c r="U254" s="486"/>
      <c r="V254" s="486"/>
      <c r="W254" s="486"/>
      <c r="X254" s="486"/>
      <c r="Y254" s="486"/>
      <c r="Z254" s="486"/>
      <c r="AA254" s="486"/>
      <c r="AB254" s="486"/>
      <c r="AC254" s="486"/>
      <c r="AD254" s="486"/>
      <c r="AE254" s="486"/>
      <c r="AF254" s="486"/>
      <c r="AG254" s="486"/>
      <c r="AH254" s="486"/>
      <c r="AI254" s="486"/>
      <c r="AJ254" s="486"/>
      <c r="AK254" s="486"/>
      <c r="AL254" s="486"/>
      <c r="AM254" s="486"/>
      <c r="AN254" s="486"/>
      <c r="AO254" s="486"/>
      <c r="AP254" s="486"/>
      <c r="AQ254" s="486"/>
      <c r="AR254" s="486"/>
      <c r="AS254" s="486"/>
      <c r="AT254" s="486"/>
      <c r="AU254" s="486"/>
      <c r="AV254" s="486"/>
      <c r="AW254" s="486"/>
      <c r="AX254" s="486"/>
      <c r="AY254" s="486"/>
      <c r="AZ254" s="486"/>
    </row>
    <row r="255" spans="1:52" s="105" customFormat="1" ht="13.2" x14ac:dyDescent="0.25">
      <c r="B255" s="59"/>
      <c r="C255" s="59"/>
      <c r="D255" s="59"/>
      <c r="E255" s="59"/>
      <c r="F255" s="59"/>
      <c r="G255" s="59"/>
      <c r="H255" s="58"/>
      <c r="I255" s="101"/>
      <c r="J255" s="101"/>
      <c r="K255" s="58"/>
      <c r="L255" s="58"/>
      <c r="N255" s="106"/>
      <c r="O255" s="107"/>
      <c r="P255" s="107"/>
      <c r="Q255" s="577"/>
      <c r="R255" s="1"/>
      <c r="S255" s="486"/>
      <c r="T255" s="486"/>
      <c r="U255" s="486"/>
      <c r="V255" s="486"/>
      <c r="W255" s="486"/>
      <c r="X255" s="486"/>
      <c r="Y255" s="486"/>
      <c r="Z255" s="486"/>
      <c r="AA255" s="486"/>
      <c r="AB255" s="486"/>
      <c r="AC255" s="486"/>
      <c r="AD255" s="486"/>
      <c r="AE255" s="486"/>
      <c r="AF255" s="486"/>
      <c r="AG255" s="486"/>
      <c r="AH255" s="486"/>
      <c r="AI255" s="486"/>
      <c r="AJ255" s="486"/>
      <c r="AK255" s="486"/>
      <c r="AL255" s="486"/>
      <c r="AM255" s="486"/>
      <c r="AN255" s="486"/>
      <c r="AO255" s="486"/>
      <c r="AP255" s="486"/>
      <c r="AQ255" s="486"/>
      <c r="AR255" s="486"/>
      <c r="AS255" s="486"/>
      <c r="AT255" s="486"/>
      <c r="AU255" s="486"/>
      <c r="AV255" s="486"/>
      <c r="AW255" s="486"/>
      <c r="AX255" s="486"/>
      <c r="AY255" s="486"/>
      <c r="AZ255" s="486"/>
    </row>
    <row r="256" spans="1:52" s="105" customFormat="1" ht="13.2" x14ac:dyDescent="0.25">
      <c r="B256" s="59"/>
      <c r="C256" s="59"/>
      <c r="D256" s="59"/>
      <c r="E256" s="59"/>
      <c r="F256" s="59"/>
      <c r="G256" s="59"/>
      <c r="H256" s="58"/>
      <c r="I256" s="101"/>
      <c r="J256" s="101"/>
      <c r="K256" s="58"/>
      <c r="L256" s="58"/>
      <c r="N256" s="106"/>
      <c r="O256" s="107"/>
      <c r="P256" s="107"/>
      <c r="Q256" s="577"/>
      <c r="R256" s="1"/>
      <c r="S256" s="486"/>
      <c r="T256" s="486"/>
      <c r="U256" s="486"/>
      <c r="V256" s="486"/>
      <c r="W256" s="486"/>
      <c r="X256" s="486"/>
      <c r="Y256" s="486"/>
      <c r="Z256" s="486"/>
      <c r="AA256" s="486"/>
      <c r="AB256" s="486"/>
      <c r="AC256" s="486"/>
      <c r="AD256" s="486"/>
      <c r="AE256" s="486"/>
      <c r="AF256" s="486"/>
      <c r="AG256" s="486"/>
      <c r="AH256" s="486"/>
      <c r="AI256" s="486"/>
      <c r="AJ256" s="486"/>
      <c r="AK256" s="486"/>
      <c r="AL256" s="486"/>
      <c r="AM256" s="486"/>
      <c r="AN256" s="486"/>
      <c r="AO256" s="486"/>
      <c r="AP256" s="486"/>
      <c r="AQ256" s="486"/>
      <c r="AR256" s="486"/>
      <c r="AS256" s="486"/>
      <c r="AT256" s="486"/>
      <c r="AU256" s="486"/>
      <c r="AV256" s="486"/>
      <c r="AW256" s="486"/>
      <c r="AX256" s="486"/>
      <c r="AY256" s="486"/>
      <c r="AZ256" s="486"/>
    </row>
    <row r="257" spans="2:52" s="105" customFormat="1" ht="13.2" x14ac:dyDescent="0.25">
      <c r="B257" s="59"/>
      <c r="C257" s="59"/>
      <c r="D257" s="59"/>
      <c r="E257" s="59"/>
      <c r="F257" s="59"/>
      <c r="G257" s="59"/>
      <c r="H257" s="58"/>
      <c r="I257" s="101"/>
      <c r="J257" s="101"/>
      <c r="K257" s="58"/>
      <c r="L257" s="58"/>
      <c r="N257" s="106"/>
      <c r="O257" s="107"/>
      <c r="P257" s="107"/>
      <c r="Q257" s="577"/>
      <c r="R257" s="1"/>
      <c r="S257" s="486"/>
      <c r="T257" s="486"/>
      <c r="U257" s="486"/>
      <c r="V257" s="486"/>
      <c r="W257" s="486"/>
      <c r="X257" s="486"/>
      <c r="Y257" s="486"/>
      <c r="Z257" s="486"/>
      <c r="AA257" s="486"/>
      <c r="AB257" s="486"/>
      <c r="AC257" s="486"/>
      <c r="AD257" s="486"/>
      <c r="AE257" s="486"/>
      <c r="AF257" s="486"/>
      <c r="AG257" s="486"/>
      <c r="AH257" s="486"/>
      <c r="AI257" s="486"/>
      <c r="AJ257" s="486"/>
      <c r="AK257" s="486"/>
      <c r="AL257" s="486"/>
      <c r="AM257" s="486"/>
      <c r="AN257" s="486"/>
      <c r="AO257" s="486"/>
      <c r="AP257" s="486"/>
      <c r="AQ257" s="486"/>
      <c r="AR257" s="486"/>
      <c r="AS257" s="486"/>
      <c r="AT257" s="486"/>
      <c r="AU257" s="486"/>
      <c r="AV257" s="486"/>
      <c r="AW257" s="486"/>
      <c r="AX257" s="486"/>
      <c r="AY257" s="486"/>
      <c r="AZ257" s="486"/>
    </row>
    <row r="258" spans="2:52" s="105" customFormat="1" ht="13.2" x14ac:dyDescent="0.25">
      <c r="B258" s="59"/>
      <c r="C258" s="59"/>
      <c r="D258" s="59"/>
      <c r="E258" s="59"/>
      <c r="F258" s="59"/>
      <c r="G258" s="59"/>
      <c r="H258" s="58"/>
      <c r="I258" s="101"/>
      <c r="J258" s="101"/>
      <c r="K258" s="58"/>
      <c r="L258" s="58"/>
      <c r="N258" s="106"/>
      <c r="O258" s="107"/>
      <c r="P258" s="107"/>
      <c r="Q258" s="577"/>
      <c r="R258" s="1"/>
      <c r="S258" s="486"/>
      <c r="T258" s="486"/>
      <c r="U258" s="486"/>
      <c r="V258" s="486"/>
      <c r="W258" s="486"/>
      <c r="X258" s="486"/>
      <c r="Y258" s="486"/>
      <c r="Z258" s="486"/>
      <c r="AA258" s="486"/>
      <c r="AB258" s="486"/>
      <c r="AC258" s="486"/>
      <c r="AD258" s="486"/>
      <c r="AE258" s="486"/>
      <c r="AF258" s="486"/>
      <c r="AG258" s="486"/>
      <c r="AH258" s="486"/>
      <c r="AI258" s="486"/>
      <c r="AJ258" s="486"/>
      <c r="AK258" s="486"/>
      <c r="AL258" s="486"/>
      <c r="AM258" s="486"/>
      <c r="AN258" s="486"/>
      <c r="AO258" s="486"/>
      <c r="AP258" s="486"/>
      <c r="AQ258" s="486"/>
      <c r="AR258" s="486"/>
      <c r="AS258" s="486"/>
      <c r="AT258" s="486"/>
      <c r="AU258" s="486"/>
      <c r="AV258" s="486"/>
      <c r="AW258" s="486"/>
      <c r="AX258" s="486"/>
      <c r="AY258" s="486"/>
      <c r="AZ258" s="486"/>
    </row>
    <row r="259" spans="2:52" s="105" customFormat="1" ht="13.2" x14ac:dyDescent="0.25">
      <c r="B259" s="59"/>
      <c r="C259" s="59"/>
      <c r="D259" s="59"/>
      <c r="E259" s="59"/>
      <c r="F259" s="59"/>
      <c r="G259" s="59"/>
      <c r="H259" s="58"/>
      <c r="I259" s="101"/>
      <c r="J259" s="101"/>
      <c r="K259" s="58"/>
      <c r="L259" s="58"/>
      <c r="N259" s="106"/>
      <c r="O259" s="107"/>
      <c r="P259" s="107"/>
      <c r="Q259" s="577"/>
      <c r="R259" s="1"/>
      <c r="S259" s="486"/>
      <c r="T259" s="486"/>
      <c r="U259" s="486"/>
      <c r="V259" s="486"/>
      <c r="W259" s="486"/>
      <c r="X259" s="486"/>
      <c r="Y259" s="486"/>
      <c r="Z259" s="486"/>
      <c r="AA259" s="486"/>
      <c r="AB259" s="486"/>
      <c r="AC259" s="486"/>
      <c r="AD259" s="486"/>
      <c r="AE259" s="486"/>
      <c r="AF259" s="486"/>
      <c r="AG259" s="486"/>
      <c r="AH259" s="486"/>
      <c r="AI259" s="486"/>
      <c r="AJ259" s="486"/>
      <c r="AK259" s="486"/>
      <c r="AL259" s="486"/>
      <c r="AM259" s="486"/>
      <c r="AN259" s="486"/>
      <c r="AO259" s="486"/>
      <c r="AP259" s="486"/>
      <c r="AQ259" s="486"/>
      <c r="AR259" s="486"/>
      <c r="AS259" s="486"/>
      <c r="AT259" s="486"/>
      <c r="AU259" s="486"/>
      <c r="AV259" s="486"/>
      <c r="AW259" s="486"/>
      <c r="AX259" s="486"/>
      <c r="AY259" s="486"/>
      <c r="AZ259" s="486"/>
    </row>
    <row r="260" spans="2:52" s="105" customFormat="1" ht="13.2" x14ac:dyDescent="0.25">
      <c r="B260" s="59"/>
      <c r="C260" s="59"/>
      <c r="D260" s="59"/>
      <c r="E260" s="59"/>
      <c r="F260" s="59"/>
      <c r="G260" s="59"/>
      <c r="H260" s="58"/>
      <c r="I260" s="101"/>
      <c r="J260" s="101"/>
      <c r="K260" s="58"/>
      <c r="L260" s="58"/>
      <c r="N260" s="106"/>
      <c r="O260" s="107"/>
      <c r="P260" s="107"/>
      <c r="Q260" s="577"/>
      <c r="R260" s="1"/>
      <c r="S260" s="486"/>
      <c r="T260" s="486"/>
      <c r="U260" s="486"/>
      <c r="V260" s="486"/>
      <c r="W260" s="486"/>
      <c r="X260" s="486"/>
      <c r="Y260" s="486"/>
      <c r="Z260" s="486"/>
      <c r="AA260" s="486"/>
      <c r="AB260" s="486"/>
      <c r="AC260" s="486"/>
      <c r="AD260" s="486"/>
      <c r="AE260" s="486"/>
      <c r="AF260" s="486"/>
      <c r="AG260" s="486"/>
      <c r="AH260" s="486"/>
      <c r="AI260" s="486"/>
      <c r="AJ260" s="486"/>
      <c r="AK260" s="486"/>
      <c r="AL260" s="486"/>
      <c r="AM260" s="486"/>
      <c r="AN260" s="486"/>
      <c r="AO260" s="486"/>
      <c r="AP260" s="486"/>
      <c r="AQ260" s="486"/>
      <c r="AR260" s="486"/>
      <c r="AS260" s="486"/>
      <c r="AT260" s="486"/>
      <c r="AU260" s="486"/>
      <c r="AV260" s="486"/>
      <c r="AW260" s="486"/>
      <c r="AX260" s="486"/>
      <c r="AY260" s="486"/>
      <c r="AZ260" s="486"/>
    </row>
    <row r="261" spans="2:52" s="105" customFormat="1" ht="13.2" x14ac:dyDescent="0.25">
      <c r="B261" s="59"/>
      <c r="C261" s="59"/>
      <c r="D261" s="59"/>
      <c r="E261" s="59"/>
      <c r="F261" s="59"/>
      <c r="G261" s="59"/>
      <c r="H261" s="58"/>
      <c r="I261" s="101"/>
      <c r="J261" s="101"/>
      <c r="K261" s="58"/>
      <c r="L261" s="58"/>
      <c r="N261" s="106"/>
      <c r="O261" s="107"/>
      <c r="P261" s="107"/>
      <c r="Q261" s="577"/>
      <c r="R261" s="1"/>
      <c r="S261" s="486"/>
      <c r="T261" s="486"/>
      <c r="U261" s="486"/>
      <c r="V261" s="486"/>
      <c r="W261" s="486"/>
      <c r="X261" s="486"/>
      <c r="Y261" s="486"/>
      <c r="Z261" s="486"/>
      <c r="AA261" s="486"/>
      <c r="AB261" s="486"/>
      <c r="AC261" s="486"/>
      <c r="AD261" s="486"/>
      <c r="AE261" s="486"/>
      <c r="AF261" s="486"/>
      <c r="AG261" s="486"/>
      <c r="AH261" s="486"/>
      <c r="AI261" s="486"/>
      <c r="AJ261" s="486"/>
      <c r="AK261" s="486"/>
      <c r="AL261" s="486"/>
      <c r="AM261" s="486"/>
      <c r="AN261" s="486"/>
      <c r="AO261" s="486"/>
      <c r="AP261" s="486"/>
      <c r="AQ261" s="486"/>
      <c r="AR261" s="486"/>
      <c r="AS261" s="486"/>
      <c r="AT261" s="486"/>
      <c r="AU261" s="486"/>
      <c r="AV261" s="486"/>
      <c r="AW261" s="486"/>
      <c r="AX261" s="486"/>
      <c r="AY261" s="486"/>
      <c r="AZ261" s="486"/>
    </row>
    <row r="262" spans="2:52" s="105" customFormat="1" ht="13.2" x14ac:dyDescent="0.25">
      <c r="B262" s="59"/>
      <c r="C262" s="59"/>
      <c r="D262" s="59"/>
      <c r="E262" s="59"/>
      <c r="F262" s="59"/>
      <c r="G262" s="59"/>
      <c r="H262" s="58"/>
      <c r="I262" s="101"/>
      <c r="J262" s="101"/>
      <c r="K262" s="58"/>
      <c r="L262" s="58"/>
      <c r="N262" s="106"/>
      <c r="O262" s="107"/>
      <c r="P262" s="107"/>
      <c r="Q262" s="577"/>
      <c r="R262" s="1"/>
      <c r="S262" s="486"/>
      <c r="T262" s="486"/>
      <c r="U262" s="486"/>
      <c r="V262" s="486"/>
      <c r="W262" s="486"/>
      <c r="X262" s="486"/>
      <c r="Y262" s="486"/>
      <c r="Z262" s="486"/>
      <c r="AA262" s="486"/>
      <c r="AB262" s="486"/>
      <c r="AC262" s="486"/>
      <c r="AD262" s="486"/>
      <c r="AE262" s="486"/>
      <c r="AF262" s="486"/>
      <c r="AG262" s="486"/>
      <c r="AH262" s="486"/>
      <c r="AI262" s="486"/>
      <c r="AJ262" s="486"/>
      <c r="AK262" s="486"/>
      <c r="AL262" s="486"/>
      <c r="AM262" s="486"/>
      <c r="AN262" s="486"/>
      <c r="AO262" s="486"/>
      <c r="AP262" s="486"/>
      <c r="AQ262" s="486"/>
      <c r="AR262" s="486"/>
      <c r="AS262" s="486"/>
      <c r="AT262" s="486"/>
      <c r="AU262" s="486"/>
      <c r="AV262" s="486"/>
      <c r="AW262" s="486"/>
      <c r="AX262" s="486"/>
      <c r="AY262" s="486"/>
      <c r="AZ262" s="486"/>
    </row>
    <row r="263" spans="2:52" s="105" customFormat="1" ht="13.2" x14ac:dyDescent="0.25">
      <c r="B263" s="59"/>
      <c r="C263" s="59"/>
      <c r="D263" s="59"/>
      <c r="E263" s="59"/>
      <c r="F263" s="59"/>
      <c r="G263" s="59"/>
      <c r="H263" s="58"/>
      <c r="I263" s="101"/>
      <c r="J263" s="101"/>
      <c r="K263" s="58"/>
      <c r="L263" s="58"/>
      <c r="N263" s="106"/>
      <c r="O263" s="107"/>
      <c r="P263" s="107"/>
      <c r="Q263" s="577"/>
      <c r="R263" s="1"/>
      <c r="S263" s="486"/>
      <c r="T263" s="486"/>
      <c r="U263" s="486"/>
      <c r="V263" s="486"/>
      <c r="W263" s="486"/>
      <c r="X263" s="486"/>
      <c r="Y263" s="486"/>
      <c r="Z263" s="486"/>
      <c r="AA263" s="486"/>
      <c r="AB263" s="486"/>
      <c r="AC263" s="486"/>
      <c r="AD263" s="486"/>
      <c r="AE263" s="486"/>
      <c r="AF263" s="486"/>
      <c r="AG263" s="486"/>
      <c r="AH263" s="486"/>
      <c r="AI263" s="486"/>
      <c r="AJ263" s="486"/>
      <c r="AK263" s="486"/>
      <c r="AL263" s="486"/>
      <c r="AM263" s="486"/>
      <c r="AN263" s="486"/>
      <c r="AO263" s="486"/>
      <c r="AP263" s="486"/>
      <c r="AQ263" s="486"/>
      <c r="AR263" s="486"/>
      <c r="AS263" s="486"/>
      <c r="AT263" s="486"/>
      <c r="AU263" s="486"/>
      <c r="AV263" s="486"/>
      <c r="AW263" s="486"/>
      <c r="AX263" s="486"/>
      <c r="AY263" s="486"/>
      <c r="AZ263" s="486"/>
    </row>
    <row r="264" spans="2:52" s="105" customFormat="1" ht="13.2" x14ac:dyDescent="0.25">
      <c r="B264" s="59"/>
      <c r="C264" s="59"/>
      <c r="D264" s="59"/>
      <c r="E264" s="59"/>
      <c r="F264" s="59"/>
      <c r="G264" s="59"/>
      <c r="H264" s="58"/>
      <c r="I264" s="101"/>
      <c r="J264" s="101"/>
      <c r="K264" s="58"/>
      <c r="L264" s="58"/>
      <c r="N264" s="106"/>
      <c r="O264" s="107"/>
      <c r="P264" s="107"/>
      <c r="Q264" s="577"/>
      <c r="R264" s="1"/>
      <c r="S264" s="486"/>
      <c r="T264" s="486"/>
      <c r="U264" s="486"/>
      <c r="V264" s="486"/>
      <c r="W264" s="486"/>
      <c r="X264" s="486"/>
      <c r="Y264" s="486"/>
      <c r="Z264" s="486"/>
      <c r="AA264" s="486"/>
      <c r="AB264" s="486"/>
      <c r="AC264" s="486"/>
      <c r="AD264" s="486"/>
      <c r="AE264" s="486"/>
      <c r="AF264" s="486"/>
      <c r="AG264" s="486"/>
      <c r="AH264" s="486"/>
      <c r="AI264" s="486"/>
      <c r="AJ264" s="486"/>
      <c r="AK264" s="486"/>
      <c r="AL264" s="486"/>
      <c r="AM264" s="486"/>
      <c r="AN264" s="486"/>
      <c r="AO264" s="486"/>
      <c r="AP264" s="486"/>
      <c r="AQ264" s="486"/>
      <c r="AR264" s="486"/>
      <c r="AS264" s="486"/>
      <c r="AT264" s="486"/>
      <c r="AU264" s="486"/>
      <c r="AV264" s="486"/>
      <c r="AW264" s="486"/>
      <c r="AX264" s="486"/>
      <c r="AY264" s="486"/>
      <c r="AZ264" s="486"/>
    </row>
    <row r="265" spans="2:52" s="59" customFormat="1" ht="13.2" x14ac:dyDescent="0.25">
      <c r="H265" s="58"/>
      <c r="I265" s="101"/>
      <c r="J265" s="101"/>
      <c r="K265" s="58"/>
      <c r="L265" s="58"/>
      <c r="M265" s="105"/>
      <c r="N265" s="106"/>
      <c r="O265" s="107"/>
      <c r="P265" s="107"/>
      <c r="Q265" s="577"/>
      <c r="R265" s="1"/>
      <c r="S265" s="487"/>
      <c r="T265" s="487"/>
      <c r="U265" s="487"/>
      <c r="V265" s="487"/>
      <c r="W265" s="487"/>
      <c r="X265" s="487"/>
      <c r="Y265" s="487"/>
      <c r="Z265" s="487"/>
      <c r="AA265" s="487"/>
      <c r="AB265" s="487"/>
      <c r="AC265" s="487"/>
      <c r="AD265" s="487"/>
      <c r="AE265" s="487"/>
      <c r="AF265" s="487"/>
      <c r="AG265" s="487"/>
      <c r="AH265" s="487"/>
      <c r="AI265" s="487"/>
      <c r="AJ265" s="487"/>
      <c r="AK265" s="487"/>
      <c r="AL265" s="487"/>
      <c r="AM265" s="487"/>
      <c r="AN265" s="487"/>
      <c r="AO265" s="487"/>
      <c r="AP265" s="487"/>
      <c r="AQ265" s="487"/>
      <c r="AR265" s="487"/>
      <c r="AS265" s="487"/>
      <c r="AT265" s="487"/>
      <c r="AU265" s="487"/>
      <c r="AV265" s="487"/>
      <c r="AW265" s="487"/>
      <c r="AX265" s="487"/>
      <c r="AY265" s="487"/>
      <c r="AZ265" s="487"/>
    </row>
    <row r="266" spans="2:52" s="59" customFormat="1" ht="13.2" x14ac:dyDescent="0.25">
      <c r="H266" s="58"/>
      <c r="I266" s="101"/>
      <c r="J266" s="101"/>
      <c r="K266" s="58"/>
      <c r="L266" s="58"/>
      <c r="M266" s="105"/>
      <c r="N266" s="106"/>
      <c r="O266" s="107"/>
      <c r="P266" s="107"/>
      <c r="Q266" s="577"/>
      <c r="R266" s="1"/>
      <c r="S266" s="487"/>
      <c r="T266" s="487"/>
      <c r="U266" s="487"/>
      <c r="V266" s="487"/>
      <c r="W266" s="487"/>
      <c r="X266" s="487"/>
      <c r="Y266" s="487"/>
      <c r="Z266" s="487"/>
      <c r="AA266" s="487"/>
      <c r="AB266" s="487"/>
      <c r="AC266" s="487"/>
      <c r="AD266" s="487"/>
      <c r="AE266" s="487"/>
      <c r="AF266" s="487"/>
      <c r="AG266" s="487"/>
      <c r="AH266" s="487"/>
      <c r="AI266" s="487"/>
      <c r="AJ266" s="487"/>
      <c r="AK266" s="487"/>
      <c r="AL266" s="487"/>
      <c r="AM266" s="487"/>
      <c r="AN266" s="487"/>
      <c r="AO266" s="487"/>
      <c r="AP266" s="487"/>
      <c r="AQ266" s="487"/>
      <c r="AR266" s="487"/>
      <c r="AS266" s="487"/>
      <c r="AT266" s="487"/>
      <c r="AU266" s="487"/>
      <c r="AV266" s="487"/>
      <c r="AW266" s="487"/>
      <c r="AX266" s="487"/>
      <c r="AY266" s="487"/>
      <c r="AZ266" s="487"/>
    </row>
    <row r="267" spans="2:52" s="59" customFormat="1" ht="13.2" x14ac:dyDescent="0.25">
      <c r="H267" s="58"/>
      <c r="I267" s="101"/>
      <c r="J267" s="101"/>
      <c r="K267" s="58"/>
      <c r="L267" s="58"/>
      <c r="M267" s="105"/>
      <c r="N267" s="106"/>
      <c r="O267" s="107"/>
      <c r="P267" s="107"/>
      <c r="Q267" s="577"/>
      <c r="R267" s="1"/>
      <c r="S267" s="487"/>
      <c r="T267" s="487"/>
      <c r="U267" s="487"/>
      <c r="V267" s="487"/>
      <c r="W267" s="487"/>
      <c r="X267" s="487"/>
      <c r="Y267" s="487"/>
      <c r="Z267" s="487"/>
      <c r="AA267" s="487"/>
      <c r="AB267" s="487"/>
      <c r="AC267" s="487"/>
      <c r="AD267" s="487"/>
      <c r="AE267" s="487"/>
      <c r="AF267" s="487"/>
      <c r="AG267" s="487"/>
      <c r="AH267" s="487"/>
      <c r="AI267" s="487"/>
      <c r="AJ267" s="487"/>
      <c r="AK267" s="487"/>
      <c r="AL267" s="487"/>
      <c r="AM267" s="487"/>
      <c r="AN267" s="487"/>
      <c r="AO267" s="487"/>
      <c r="AP267" s="487"/>
      <c r="AQ267" s="487"/>
      <c r="AR267" s="487"/>
      <c r="AS267" s="487"/>
      <c r="AT267" s="487"/>
      <c r="AU267" s="487"/>
      <c r="AV267" s="487"/>
      <c r="AW267" s="487"/>
      <c r="AX267" s="487"/>
      <c r="AY267" s="487"/>
      <c r="AZ267" s="487"/>
    </row>
    <row r="268" spans="2:52" s="59" customFormat="1" ht="13.2" x14ac:dyDescent="0.25">
      <c r="H268" s="58"/>
      <c r="I268" s="101"/>
      <c r="J268" s="101"/>
      <c r="K268" s="58"/>
      <c r="L268" s="58"/>
      <c r="M268" s="105"/>
      <c r="N268" s="106"/>
      <c r="O268" s="107"/>
      <c r="P268" s="107"/>
      <c r="Q268" s="577"/>
      <c r="R268" s="1"/>
      <c r="S268" s="487"/>
      <c r="T268" s="487"/>
      <c r="U268" s="487"/>
      <c r="V268" s="487"/>
      <c r="W268" s="487"/>
      <c r="X268" s="487"/>
      <c r="Y268" s="487"/>
      <c r="Z268" s="487"/>
      <c r="AA268" s="487"/>
      <c r="AB268" s="487"/>
      <c r="AC268" s="487"/>
      <c r="AD268" s="487"/>
      <c r="AE268" s="487"/>
      <c r="AF268" s="487"/>
      <c r="AG268" s="487"/>
      <c r="AH268" s="487"/>
      <c r="AI268" s="487"/>
      <c r="AJ268" s="487"/>
      <c r="AK268" s="487"/>
      <c r="AL268" s="487"/>
      <c r="AM268" s="487"/>
      <c r="AN268" s="487"/>
      <c r="AO268" s="487"/>
      <c r="AP268" s="487"/>
      <c r="AQ268" s="487"/>
      <c r="AR268" s="487"/>
      <c r="AS268" s="487"/>
      <c r="AT268" s="487"/>
      <c r="AU268" s="487"/>
      <c r="AV268" s="487"/>
      <c r="AW268" s="487"/>
      <c r="AX268" s="487"/>
      <c r="AY268" s="487"/>
      <c r="AZ268" s="487"/>
    </row>
    <row r="269" spans="2:52" s="59" customFormat="1" ht="13.2" x14ac:dyDescent="0.25">
      <c r="H269" s="58"/>
      <c r="I269" s="101"/>
      <c r="J269" s="101"/>
      <c r="K269" s="58"/>
      <c r="L269" s="58"/>
      <c r="M269" s="105"/>
      <c r="N269" s="106"/>
      <c r="O269" s="107"/>
      <c r="P269" s="107"/>
      <c r="Q269" s="577"/>
      <c r="R269" s="1"/>
      <c r="S269" s="487"/>
      <c r="T269" s="487"/>
      <c r="U269" s="487"/>
      <c r="V269" s="487"/>
      <c r="W269" s="487"/>
      <c r="X269" s="487"/>
      <c r="Y269" s="487"/>
      <c r="Z269" s="487"/>
      <c r="AA269" s="487"/>
      <c r="AB269" s="487"/>
      <c r="AC269" s="487"/>
      <c r="AD269" s="487"/>
      <c r="AE269" s="487"/>
      <c r="AF269" s="487"/>
      <c r="AG269" s="487"/>
      <c r="AH269" s="487"/>
      <c r="AI269" s="487"/>
      <c r="AJ269" s="487"/>
      <c r="AK269" s="487"/>
      <c r="AL269" s="487"/>
      <c r="AM269" s="487"/>
      <c r="AN269" s="487"/>
      <c r="AO269" s="487"/>
      <c r="AP269" s="487"/>
      <c r="AQ269" s="487"/>
      <c r="AR269" s="487"/>
      <c r="AS269" s="487"/>
      <c r="AT269" s="487"/>
      <c r="AU269" s="487"/>
      <c r="AV269" s="487"/>
      <c r="AW269" s="487"/>
      <c r="AX269" s="487"/>
      <c r="AY269" s="487"/>
      <c r="AZ269" s="487"/>
    </row>
    <row r="270" spans="2:52" s="59" customFormat="1" ht="13.2" x14ac:dyDescent="0.25">
      <c r="H270" s="58"/>
      <c r="I270" s="101"/>
      <c r="J270" s="101"/>
      <c r="K270" s="58"/>
      <c r="L270" s="58"/>
      <c r="M270" s="105"/>
      <c r="N270" s="106"/>
      <c r="O270" s="107"/>
      <c r="P270" s="107"/>
      <c r="Q270" s="577"/>
      <c r="R270" s="1"/>
      <c r="S270" s="487"/>
      <c r="T270" s="487"/>
      <c r="U270" s="487"/>
      <c r="V270" s="487"/>
      <c r="W270" s="487"/>
      <c r="X270" s="487"/>
      <c r="Y270" s="487"/>
      <c r="Z270" s="487"/>
      <c r="AA270" s="487"/>
      <c r="AB270" s="487"/>
      <c r="AC270" s="487"/>
      <c r="AD270" s="487"/>
      <c r="AE270" s="487"/>
      <c r="AF270" s="487"/>
      <c r="AG270" s="487"/>
      <c r="AH270" s="487"/>
      <c r="AI270" s="487"/>
      <c r="AJ270" s="487"/>
      <c r="AK270" s="487"/>
      <c r="AL270" s="487"/>
      <c r="AM270" s="487"/>
      <c r="AN270" s="487"/>
      <c r="AO270" s="487"/>
      <c r="AP270" s="487"/>
      <c r="AQ270" s="487"/>
      <c r="AR270" s="487"/>
      <c r="AS270" s="487"/>
      <c r="AT270" s="487"/>
      <c r="AU270" s="487"/>
      <c r="AV270" s="487"/>
      <c r="AW270" s="487"/>
      <c r="AX270" s="487"/>
      <c r="AY270" s="487"/>
      <c r="AZ270" s="487"/>
    </row>
    <row r="271" spans="2:52" s="59" customFormat="1" ht="13.2" x14ac:dyDescent="0.25">
      <c r="H271" s="58"/>
      <c r="I271" s="101"/>
      <c r="J271" s="101"/>
      <c r="K271" s="58"/>
      <c r="L271" s="58"/>
      <c r="M271" s="105"/>
      <c r="N271" s="106"/>
      <c r="O271" s="107"/>
      <c r="P271" s="107"/>
      <c r="Q271" s="577"/>
      <c r="R271" s="1"/>
      <c r="S271" s="487"/>
      <c r="T271" s="487"/>
      <c r="U271" s="487"/>
      <c r="V271" s="487"/>
      <c r="W271" s="487"/>
      <c r="X271" s="487"/>
      <c r="Y271" s="487"/>
      <c r="Z271" s="487"/>
      <c r="AA271" s="487"/>
      <c r="AB271" s="487"/>
      <c r="AC271" s="487"/>
      <c r="AD271" s="487"/>
      <c r="AE271" s="487"/>
      <c r="AF271" s="487"/>
      <c r="AG271" s="487"/>
      <c r="AH271" s="487"/>
      <c r="AI271" s="487"/>
      <c r="AJ271" s="487"/>
      <c r="AK271" s="487"/>
      <c r="AL271" s="487"/>
      <c r="AM271" s="487"/>
      <c r="AN271" s="487"/>
      <c r="AO271" s="487"/>
      <c r="AP271" s="487"/>
      <c r="AQ271" s="487"/>
      <c r="AR271" s="487"/>
      <c r="AS271" s="487"/>
      <c r="AT271" s="487"/>
      <c r="AU271" s="487"/>
      <c r="AV271" s="487"/>
      <c r="AW271" s="487"/>
      <c r="AX271" s="487"/>
      <c r="AY271" s="487"/>
      <c r="AZ271" s="487"/>
    </row>
    <row r="272" spans="2:52" s="59" customFormat="1" ht="13.2" x14ac:dyDescent="0.25">
      <c r="P272" s="107"/>
      <c r="Q272" s="577"/>
      <c r="R272" s="1"/>
      <c r="S272" s="487"/>
      <c r="T272" s="487"/>
      <c r="U272" s="487"/>
      <c r="V272" s="487"/>
      <c r="W272" s="487"/>
      <c r="X272" s="487"/>
      <c r="Y272" s="487"/>
      <c r="Z272" s="487"/>
      <c r="AA272" s="487"/>
      <c r="AB272" s="487"/>
      <c r="AC272" s="487"/>
      <c r="AD272" s="487"/>
      <c r="AE272" s="487"/>
      <c r="AF272" s="487"/>
      <c r="AG272" s="487"/>
      <c r="AH272" s="487"/>
      <c r="AI272" s="487"/>
      <c r="AJ272" s="487"/>
      <c r="AK272" s="487"/>
      <c r="AL272" s="487"/>
      <c r="AM272" s="487"/>
      <c r="AN272" s="487"/>
      <c r="AO272" s="487"/>
      <c r="AP272" s="487"/>
      <c r="AQ272" s="487"/>
      <c r="AR272" s="487"/>
      <c r="AS272" s="487"/>
      <c r="AT272" s="487"/>
      <c r="AU272" s="487"/>
      <c r="AV272" s="487"/>
      <c r="AW272" s="487"/>
      <c r="AX272" s="487"/>
      <c r="AY272" s="487"/>
      <c r="AZ272" s="487"/>
    </row>
    <row r="273" spans="8:52" s="59" customFormat="1" ht="13.2" x14ac:dyDescent="0.25">
      <c r="P273" s="107"/>
      <c r="Q273" s="577"/>
      <c r="R273" s="1"/>
      <c r="S273" s="487"/>
      <c r="T273" s="487"/>
      <c r="U273" s="487"/>
      <c r="V273" s="487"/>
      <c r="W273" s="487"/>
      <c r="X273" s="487"/>
      <c r="Y273" s="487"/>
      <c r="Z273" s="487"/>
      <c r="AA273" s="487"/>
      <c r="AB273" s="487"/>
      <c r="AC273" s="487"/>
      <c r="AD273" s="487"/>
      <c r="AE273" s="487"/>
      <c r="AF273" s="487"/>
      <c r="AG273" s="487"/>
      <c r="AH273" s="487"/>
      <c r="AI273" s="487"/>
      <c r="AJ273" s="487"/>
      <c r="AK273" s="487"/>
      <c r="AL273" s="487"/>
      <c r="AM273" s="487"/>
      <c r="AN273" s="487"/>
      <c r="AO273" s="487"/>
      <c r="AP273" s="487"/>
      <c r="AQ273" s="487"/>
      <c r="AR273" s="487"/>
      <c r="AS273" s="487"/>
      <c r="AT273" s="487"/>
      <c r="AU273" s="487"/>
      <c r="AV273" s="487"/>
      <c r="AW273" s="487"/>
      <c r="AX273" s="487"/>
      <c r="AY273" s="487"/>
      <c r="AZ273" s="487"/>
    </row>
    <row r="274" spans="8:52" s="59" customFormat="1" ht="13.2" x14ac:dyDescent="0.25">
      <c r="H274" s="58"/>
      <c r="I274" s="101"/>
      <c r="J274" s="101"/>
      <c r="K274" s="58"/>
      <c r="L274" s="58"/>
      <c r="M274" s="105"/>
      <c r="N274" s="106"/>
      <c r="O274" s="107"/>
      <c r="P274" s="107"/>
      <c r="Q274" s="577"/>
      <c r="R274" s="1"/>
      <c r="S274" s="487"/>
      <c r="T274" s="487"/>
      <c r="U274" s="487"/>
      <c r="V274" s="487"/>
      <c r="W274" s="487"/>
      <c r="X274" s="487"/>
      <c r="Y274" s="487"/>
      <c r="Z274" s="487"/>
      <c r="AA274" s="487"/>
      <c r="AB274" s="487"/>
      <c r="AC274" s="487"/>
      <c r="AD274" s="487"/>
      <c r="AE274" s="487"/>
      <c r="AF274" s="487"/>
      <c r="AG274" s="487"/>
      <c r="AH274" s="487"/>
      <c r="AI274" s="487"/>
      <c r="AJ274" s="487"/>
      <c r="AK274" s="487"/>
      <c r="AL274" s="487"/>
      <c r="AM274" s="487"/>
      <c r="AN274" s="487"/>
      <c r="AO274" s="487"/>
      <c r="AP274" s="487"/>
      <c r="AQ274" s="487"/>
      <c r="AR274" s="487"/>
      <c r="AS274" s="487"/>
      <c r="AT274" s="487"/>
      <c r="AU274" s="487"/>
      <c r="AV274" s="487"/>
      <c r="AW274" s="487"/>
      <c r="AX274" s="487"/>
      <c r="AY274" s="487"/>
      <c r="AZ274" s="487"/>
    </row>
    <row r="275" spans="8:52" s="59" customFormat="1" ht="13.2" x14ac:dyDescent="0.25">
      <c r="H275" s="58"/>
      <c r="I275" s="101"/>
      <c r="J275" s="101"/>
      <c r="K275" s="58"/>
      <c r="L275" s="58"/>
      <c r="M275" s="105"/>
      <c r="N275" s="106"/>
      <c r="O275" s="107"/>
      <c r="P275" s="107"/>
      <c r="Q275" s="577"/>
      <c r="R275" s="1"/>
      <c r="S275" s="487"/>
      <c r="T275" s="487"/>
      <c r="U275" s="487"/>
      <c r="V275" s="487"/>
      <c r="W275" s="487"/>
      <c r="X275" s="487"/>
      <c r="Y275" s="487"/>
      <c r="Z275" s="487"/>
      <c r="AA275" s="487"/>
      <c r="AB275" s="487"/>
      <c r="AC275" s="487"/>
      <c r="AD275" s="487"/>
      <c r="AE275" s="487"/>
      <c r="AF275" s="487"/>
      <c r="AG275" s="487"/>
      <c r="AH275" s="487"/>
      <c r="AI275" s="487"/>
      <c r="AJ275" s="487"/>
      <c r="AK275" s="487"/>
      <c r="AL275" s="487"/>
      <c r="AM275" s="487"/>
      <c r="AN275" s="487"/>
      <c r="AO275" s="487"/>
      <c r="AP275" s="487"/>
      <c r="AQ275" s="487"/>
      <c r="AR275" s="487"/>
      <c r="AS275" s="487"/>
      <c r="AT275" s="487"/>
      <c r="AU275" s="487"/>
      <c r="AV275" s="487"/>
      <c r="AW275" s="487"/>
      <c r="AX275" s="487"/>
      <c r="AY275" s="487"/>
      <c r="AZ275" s="487"/>
    </row>
    <row r="276" spans="8:52" s="59" customFormat="1" ht="13.2" x14ac:dyDescent="0.25">
      <c r="H276" s="58"/>
      <c r="I276" s="101"/>
      <c r="J276" s="101"/>
      <c r="K276" s="58"/>
      <c r="L276" s="58"/>
      <c r="M276" s="105"/>
      <c r="N276" s="106"/>
      <c r="O276" s="107"/>
      <c r="P276" s="107"/>
      <c r="Q276" s="577"/>
      <c r="R276" s="1"/>
      <c r="S276" s="487"/>
      <c r="T276" s="487"/>
      <c r="U276" s="487"/>
      <c r="V276" s="487"/>
      <c r="W276" s="487"/>
      <c r="X276" s="487"/>
      <c r="Y276" s="487"/>
      <c r="Z276" s="487"/>
      <c r="AA276" s="487"/>
      <c r="AB276" s="487"/>
      <c r="AC276" s="487"/>
      <c r="AD276" s="487"/>
      <c r="AE276" s="487"/>
      <c r="AF276" s="487"/>
      <c r="AG276" s="487"/>
      <c r="AH276" s="487"/>
      <c r="AI276" s="487"/>
      <c r="AJ276" s="487"/>
      <c r="AK276" s="487"/>
      <c r="AL276" s="487"/>
      <c r="AM276" s="487"/>
      <c r="AN276" s="487"/>
      <c r="AO276" s="487"/>
      <c r="AP276" s="487"/>
      <c r="AQ276" s="487"/>
      <c r="AR276" s="487"/>
      <c r="AS276" s="487"/>
      <c r="AT276" s="487"/>
      <c r="AU276" s="487"/>
      <c r="AV276" s="487"/>
      <c r="AW276" s="487"/>
      <c r="AX276" s="487"/>
      <c r="AY276" s="487"/>
      <c r="AZ276" s="487"/>
    </row>
    <row r="277" spans="8:52" s="59" customFormat="1" ht="13.2" x14ac:dyDescent="0.25">
      <c r="H277" s="58"/>
      <c r="I277" s="101"/>
      <c r="J277" s="101"/>
      <c r="K277" s="58"/>
      <c r="L277" s="58"/>
      <c r="M277" s="105"/>
      <c r="N277" s="106"/>
      <c r="O277" s="107"/>
      <c r="P277" s="107"/>
      <c r="Q277" s="577"/>
      <c r="R277" s="1"/>
      <c r="S277" s="487"/>
      <c r="T277" s="487"/>
      <c r="U277" s="487"/>
      <c r="V277" s="487"/>
      <c r="W277" s="487"/>
      <c r="X277" s="487"/>
      <c r="Y277" s="487"/>
      <c r="Z277" s="487"/>
      <c r="AA277" s="487"/>
      <c r="AB277" s="487"/>
      <c r="AC277" s="487"/>
      <c r="AD277" s="487"/>
      <c r="AE277" s="487"/>
      <c r="AF277" s="487"/>
      <c r="AG277" s="487"/>
      <c r="AH277" s="487"/>
      <c r="AI277" s="487"/>
      <c r="AJ277" s="487"/>
      <c r="AK277" s="487"/>
      <c r="AL277" s="487"/>
      <c r="AM277" s="487"/>
      <c r="AN277" s="487"/>
      <c r="AO277" s="487"/>
      <c r="AP277" s="487"/>
      <c r="AQ277" s="487"/>
      <c r="AR277" s="487"/>
      <c r="AS277" s="487"/>
      <c r="AT277" s="487"/>
      <c r="AU277" s="487"/>
      <c r="AV277" s="487"/>
      <c r="AW277" s="487"/>
      <c r="AX277" s="487"/>
      <c r="AY277" s="487"/>
      <c r="AZ277" s="487"/>
    </row>
    <row r="278" spans="8:52" s="59" customFormat="1" ht="13.2" x14ac:dyDescent="0.25">
      <c r="H278" s="58"/>
      <c r="I278" s="101"/>
      <c r="J278" s="101"/>
      <c r="K278" s="58"/>
      <c r="L278" s="58"/>
      <c r="M278" s="105"/>
      <c r="N278" s="106"/>
      <c r="O278" s="107"/>
      <c r="P278" s="107"/>
      <c r="Q278" s="577"/>
      <c r="R278" s="1"/>
      <c r="S278" s="487"/>
      <c r="T278" s="487"/>
      <c r="U278" s="487"/>
      <c r="V278" s="487"/>
      <c r="W278" s="487"/>
      <c r="X278" s="487"/>
      <c r="Y278" s="487"/>
      <c r="Z278" s="487"/>
      <c r="AA278" s="487"/>
      <c r="AB278" s="487"/>
      <c r="AC278" s="487"/>
      <c r="AD278" s="487"/>
      <c r="AE278" s="487"/>
      <c r="AF278" s="487"/>
      <c r="AG278" s="487"/>
      <c r="AH278" s="487"/>
      <c r="AI278" s="487"/>
      <c r="AJ278" s="487"/>
      <c r="AK278" s="487"/>
      <c r="AL278" s="487"/>
      <c r="AM278" s="487"/>
      <c r="AN278" s="487"/>
      <c r="AO278" s="487"/>
      <c r="AP278" s="487"/>
      <c r="AQ278" s="487"/>
      <c r="AR278" s="487"/>
      <c r="AS278" s="487"/>
      <c r="AT278" s="487"/>
      <c r="AU278" s="487"/>
      <c r="AV278" s="487"/>
      <c r="AW278" s="487"/>
      <c r="AX278" s="487"/>
      <c r="AY278" s="487"/>
      <c r="AZ278" s="487"/>
    </row>
    <row r="279" spans="8:52" s="59" customFormat="1" ht="13.2" x14ac:dyDescent="0.25">
      <c r="H279" s="58"/>
      <c r="I279" s="101"/>
      <c r="J279" s="101"/>
      <c r="K279" s="58"/>
      <c r="L279" s="58"/>
      <c r="M279" s="105"/>
      <c r="N279" s="106"/>
      <c r="O279" s="107"/>
      <c r="P279" s="107"/>
      <c r="Q279" s="577"/>
      <c r="R279" s="1"/>
      <c r="S279" s="487"/>
      <c r="T279" s="487"/>
      <c r="U279" s="487"/>
      <c r="V279" s="487"/>
      <c r="W279" s="487"/>
      <c r="X279" s="487"/>
      <c r="Y279" s="487"/>
      <c r="Z279" s="487"/>
      <c r="AA279" s="487"/>
      <c r="AB279" s="487"/>
      <c r="AC279" s="487"/>
      <c r="AD279" s="487"/>
      <c r="AE279" s="487"/>
      <c r="AF279" s="487"/>
      <c r="AG279" s="487"/>
      <c r="AH279" s="487"/>
      <c r="AI279" s="487"/>
      <c r="AJ279" s="487"/>
      <c r="AK279" s="487"/>
      <c r="AL279" s="487"/>
      <c r="AM279" s="487"/>
      <c r="AN279" s="487"/>
      <c r="AO279" s="487"/>
      <c r="AP279" s="487"/>
      <c r="AQ279" s="487"/>
      <c r="AR279" s="487"/>
      <c r="AS279" s="487"/>
      <c r="AT279" s="487"/>
      <c r="AU279" s="487"/>
      <c r="AV279" s="487"/>
      <c r="AW279" s="487"/>
      <c r="AX279" s="487"/>
      <c r="AY279" s="487"/>
      <c r="AZ279" s="487"/>
    </row>
    <row r="280" spans="8:52" s="59" customFormat="1" ht="13.2" x14ac:dyDescent="0.25">
      <c r="H280" s="58"/>
      <c r="I280" s="101"/>
      <c r="J280" s="101"/>
      <c r="K280" s="58"/>
      <c r="L280" s="58"/>
      <c r="M280" s="105"/>
      <c r="N280" s="106"/>
      <c r="O280" s="107"/>
      <c r="P280" s="107"/>
      <c r="Q280" s="577"/>
      <c r="R280" s="1"/>
      <c r="S280" s="487"/>
      <c r="T280" s="487"/>
      <c r="U280" s="487"/>
      <c r="V280" s="487"/>
      <c r="W280" s="487"/>
      <c r="X280" s="487"/>
      <c r="Y280" s="487"/>
      <c r="Z280" s="487"/>
      <c r="AA280" s="487"/>
      <c r="AB280" s="487"/>
      <c r="AC280" s="487"/>
      <c r="AD280" s="487"/>
      <c r="AE280" s="487"/>
      <c r="AF280" s="487"/>
      <c r="AG280" s="487"/>
      <c r="AH280" s="487"/>
      <c r="AI280" s="487"/>
      <c r="AJ280" s="487"/>
      <c r="AK280" s="487"/>
      <c r="AL280" s="487"/>
      <c r="AM280" s="487"/>
      <c r="AN280" s="487"/>
      <c r="AO280" s="487"/>
      <c r="AP280" s="487"/>
      <c r="AQ280" s="487"/>
      <c r="AR280" s="487"/>
      <c r="AS280" s="487"/>
      <c r="AT280" s="487"/>
      <c r="AU280" s="487"/>
      <c r="AV280" s="487"/>
      <c r="AW280" s="487"/>
      <c r="AX280" s="487"/>
      <c r="AY280" s="487"/>
      <c r="AZ280" s="487"/>
    </row>
    <row r="281" spans="8:52" s="59" customFormat="1" ht="13.2" x14ac:dyDescent="0.25">
      <c r="H281" s="58"/>
      <c r="I281" s="101"/>
      <c r="J281" s="101"/>
      <c r="K281" s="58"/>
      <c r="L281" s="58"/>
      <c r="M281" s="105"/>
      <c r="N281" s="106"/>
      <c r="O281" s="107"/>
      <c r="P281" s="107"/>
      <c r="Q281" s="577"/>
      <c r="R281" s="1"/>
      <c r="S281" s="487"/>
      <c r="T281" s="487"/>
      <c r="U281" s="487"/>
      <c r="V281" s="487"/>
      <c r="W281" s="487"/>
      <c r="X281" s="487"/>
      <c r="Y281" s="487"/>
      <c r="Z281" s="487"/>
      <c r="AA281" s="487"/>
      <c r="AB281" s="487"/>
      <c r="AC281" s="487"/>
      <c r="AD281" s="487"/>
      <c r="AE281" s="487"/>
      <c r="AF281" s="487"/>
      <c r="AG281" s="487"/>
      <c r="AH281" s="487"/>
      <c r="AI281" s="487"/>
      <c r="AJ281" s="487"/>
      <c r="AK281" s="487"/>
      <c r="AL281" s="487"/>
      <c r="AM281" s="487"/>
      <c r="AN281" s="487"/>
      <c r="AO281" s="487"/>
      <c r="AP281" s="487"/>
      <c r="AQ281" s="487"/>
      <c r="AR281" s="487"/>
      <c r="AS281" s="487"/>
      <c r="AT281" s="487"/>
      <c r="AU281" s="487"/>
      <c r="AV281" s="487"/>
      <c r="AW281" s="487"/>
      <c r="AX281" s="487"/>
      <c r="AY281" s="487"/>
      <c r="AZ281" s="487"/>
    </row>
    <row r="282" spans="8:52" s="59" customFormat="1" ht="13.2" x14ac:dyDescent="0.25">
      <c r="H282" s="58"/>
      <c r="I282" s="101"/>
      <c r="J282" s="101"/>
      <c r="K282" s="58"/>
      <c r="L282" s="58"/>
      <c r="M282" s="105"/>
      <c r="N282" s="106"/>
      <c r="O282" s="107"/>
      <c r="P282" s="107"/>
      <c r="Q282" s="577"/>
      <c r="R282" s="1"/>
      <c r="S282" s="487"/>
      <c r="T282" s="487"/>
      <c r="U282" s="487"/>
      <c r="V282" s="487"/>
      <c r="W282" s="487"/>
      <c r="X282" s="487"/>
      <c r="Y282" s="487"/>
      <c r="Z282" s="487"/>
      <c r="AA282" s="487"/>
      <c r="AB282" s="487"/>
      <c r="AC282" s="487"/>
      <c r="AD282" s="487"/>
      <c r="AE282" s="487"/>
      <c r="AF282" s="487"/>
      <c r="AG282" s="487"/>
      <c r="AH282" s="487"/>
      <c r="AI282" s="487"/>
      <c r="AJ282" s="487"/>
      <c r="AK282" s="487"/>
      <c r="AL282" s="487"/>
      <c r="AM282" s="487"/>
      <c r="AN282" s="487"/>
      <c r="AO282" s="487"/>
      <c r="AP282" s="487"/>
      <c r="AQ282" s="487"/>
      <c r="AR282" s="487"/>
      <c r="AS282" s="487"/>
      <c r="AT282" s="487"/>
      <c r="AU282" s="487"/>
      <c r="AV282" s="487"/>
      <c r="AW282" s="487"/>
      <c r="AX282" s="487"/>
      <c r="AY282" s="487"/>
      <c r="AZ282" s="487"/>
    </row>
    <row r="283" spans="8:52" s="59" customFormat="1" ht="13.2" x14ac:dyDescent="0.25">
      <c r="H283" s="58"/>
      <c r="I283" s="101"/>
      <c r="J283" s="101"/>
      <c r="K283" s="58"/>
      <c r="L283" s="58"/>
      <c r="M283" s="105"/>
      <c r="N283" s="106"/>
      <c r="O283" s="107"/>
      <c r="P283" s="107"/>
      <c r="Q283" s="577"/>
      <c r="R283" s="1"/>
      <c r="S283" s="487"/>
      <c r="T283" s="487"/>
      <c r="U283" s="487"/>
      <c r="V283" s="487"/>
      <c r="W283" s="487"/>
      <c r="X283" s="487"/>
      <c r="Y283" s="487"/>
      <c r="Z283" s="487"/>
      <c r="AA283" s="487"/>
      <c r="AB283" s="487"/>
      <c r="AC283" s="487"/>
      <c r="AD283" s="487"/>
      <c r="AE283" s="487"/>
      <c r="AF283" s="487"/>
      <c r="AG283" s="487"/>
      <c r="AH283" s="487"/>
      <c r="AI283" s="487"/>
      <c r="AJ283" s="487"/>
      <c r="AK283" s="487"/>
      <c r="AL283" s="487"/>
      <c r="AM283" s="487"/>
      <c r="AN283" s="487"/>
      <c r="AO283" s="487"/>
      <c r="AP283" s="487"/>
      <c r="AQ283" s="487"/>
      <c r="AR283" s="487"/>
      <c r="AS283" s="487"/>
      <c r="AT283" s="487"/>
      <c r="AU283" s="487"/>
      <c r="AV283" s="487"/>
      <c r="AW283" s="487"/>
      <c r="AX283" s="487"/>
      <c r="AY283" s="487"/>
      <c r="AZ283" s="487"/>
    </row>
    <row r="284" spans="8:52" s="59" customFormat="1" ht="13.2" x14ac:dyDescent="0.25">
      <c r="H284" s="58"/>
      <c r="I284" s="101"/>
      <c r="J284" s="101"/>
      <c r="K284" s="58"/>
      <c r="L284" s="58"/>
      <c r="M284" s="105"/>
      <c r="N284" s="106"/>
      <c r="O284" s="107"/>
      <c r="P284" s="107"/>
      <c r="Q284" s="577"/>
      <c r="R284" s="1"/>
      <c r="S284" s="487"/>
      <c r="T284" s="487"/>
      <c r="U284" s="487"/>
      <c r="V284" s="487"/>
      <c r="W284" s="487"/>
      <c r="X284" s="487"/>
      <c r="Y284" s="487"/>
      <c r="Z284" s="487"/>
      <c r="AA284" s="487"/>
      <c r="AB284" s="487"/>
      <c r="AC284" s="487"/>
      <c r="AD284" s="487"/>
      <c r="AE284" s="487"/>
      <c r="AF284" s="487"/>
      <c r="AG284" s="487"/>
      <c r="AH284" s="487"/>
      <c r="AI284" s="487"/>
      <c r="AJ284" s="487"/>
      <c r="AK284" s="487"/>
      <c r="AL284" s="487"/>
      <c r="AM284" s="487"/>
      <c r="AN284" s="487"/>
      <c r="AO284" s="487"/>
      <c r="AP284" s="487"/>
      <c r="AQ284" s="487"/>
      <c r="AR284" s="487"/>
      <c r="AS284" s="487"/>
      <c r="AT284" s="487"/>
      <c r="AU284" s="487"/>
      <c r="AV284" s="487"/>
      <c r="AW284" s="487"/>
      <c r="AX284" s="487"/>
      <c r="AY284" s="487"/>
      <c r="AZ284" s="487"/>
    </row>
    <row r="285" spans="8:52" s="59" customFormat="1" ht="13.2" x14ac:dyDescent="0.25">
      <c r="H285" s="58"/>
      <c r="I285" s="101"/>
      <c r="J285" s="101"/>
      <c r="K285" s="58"/>
      <c r="L285" s="58"/>
      <c r="M285" s="105"/>
      <c r="N285" s="106"/>
      <c r="O285" s="107"/>
      <c r="P285" s="107"/>
      <c r="Q285" s="577"/>
      <c r="R285" s="1"/>
      <c r="S285" s="487"/>
      <c r="T285" s="487"/>
      <c r="U285" s="487"/>
      <c r="V285" s="487"/>
      <c r="W285" s="487"/>
      <c r="X285" s="487"/>
      <c r="Y285" s="487"/>
      <c r="Z285" s="487"/>
      <c r="AA285" s="487"/>
      <c r="AB285" s="487"/>
      <c r="AC285" s="487"/>
      <c r="AD285" s="487"/>
      <c r="AE285" s="487"/>
      <c r="AF285" s="487"/>
      <c r="AG285" s="487"/>
      <c r="AH285" s="487"/>
      <c r="AI285" s="487"/>
      <c r="AJ285" s="487"/>
      <c r="AK285" s="487"/>
      <c r="AL285" s="487"/>
      <c r="AM285" s="487"/>
      <c r="AN285" s="487"/>
      <c r="AO285" s="487"/>
      <c r="AP285" s="487"/>
      <c r="AQ285" s="487"/>
      <c r="AR285" s="487"/>
      <c r="AS285" s="487"/>
      <c r="AT285" s="487"/>
      <c r="AU285" s="487"/>
      <c r="AV285" s="487"/>
      <c r="AW285" s="487"/>
      <c r="AX285" s="487"/>
      <c r="AY285" s="487"/>
      <c r="AZ285" s="487"/>
    </row>
    <row r="286" spans="8:52" s="59" customFormat="1" ht="13.2" x14ac:dyDescent="0.25">
      <c r="H286" s="58"/>
      <c r="I286" s="101"/>
      <c r="J286" s="101"/>
      <c r="K286" s="58"/>
      <c r="L286" s="58"/>
      <c r="M286" s="105"/>
      <c r="N286" s="106"/>
      <c r="O286" s="107"/>
      <c r="P286" s="107"/>
      <c r="Q286" s="577"/>
      <c r="R286" s="1"/>
      <c r="S286" s="487"/>
      <c r="T286" s="487"/>
      <c r="U286" s="487"/>
      <c r="V286" s="487"/>
      <c r="W286" s="487"/>
      <c r="X286" s="487"/>
      <c r="Y286" s="487"/>
      <c r="Z286" s="487"/>
      <c r="AA286" s="487"/>
      <c r="AB286" s="487"/>
      <c r="AC286" s="487"/>
      <c r="AD286" s="487"/>
      <c r="AE286" s="487"/>
      <c r="AF286" s="487"/>
      <c r="AG286" s="487"/>
      <c r="AH286" s="487"/>
      <c r="AI286" s="487"/>
      <c r="AJ286" s="487"/>
      <c r="AK286" s="487"/>
      <c r="AL286" s="487"/>
      <c r="AM286" s="487"/>
      <c r="AN286" s="487"/>
      <c r="AO286" s="487"/>
      <c r="AP286" s="487"/>
      <c r="AQ286" s="487"/>
      <c r="AR286" s="487"/>
      <c r="AS286" s="487"/>
      <c r="AT286" s="487"/>
      <c r="AU286" s="487"/>
      <c r="AV286" s="487"/>
      <c r="AW286" s="487"/>
      <c r="AX286" s="487"/>
      <c r="AY286" s="487"/>
      <c r="AZ286" s="487"/>
    </row>
    <row r="287" spans="8:52" s="59" customFormat="1" ht="13.2" x14ac:dyDescent="0.25">
      <c r="H287" s="58"/>
      <c r="I287" s="101"/>
      <c r="J287" s="101"/>
      <c r="K287" s="58"/>
      <c r="L287" s="58"/>
      <c r="M287" s="105"/>
      <c r="N287" s="106"/>
      <c r="O287" s="107"/>
      <c r="P287" s="107"/>
      <c r="Q287" s="577"/>
      <c r="R287" s="1"/>
      <c r="S287" s="487"/>
      <c r="T287" s="487"/>
      <c r="U287" s="487"/>
      <c r="V287" s="487"/>
      <c r="W287" s="487"/>
      <c r="X287" s="487"/>
      <c r="Y287" s="487"/>
      <c r="Z287" s="487"/>
      <c r="AA287" s="487"/>
      <c r="AB287" s="487"/>
      <c r="AC287" s="487"/>
      <c r="AD287" s="487"/>
      <c r="AE287" s="487"/>
      <c r="AF287" s="487"/>
      <c r="AG287" s="487"/>
      <c r="AH287" s="487"/>
      <c r="AI287" s="487"/>
      <c r="AJ287" s="487"/>
      <c r="AK287" s="487"/>
      <c r="AL287" s="487"/>
      <c r="AM287" s="487"/>
      <c r="AN287" s="487"/>
      <c r="AO287" s="487"/>
      <c r="AP287" s="487"/>
      <c r="AQ287" s="487"/>
      <c r="AR287" s="487"/>
      <c r="AS287" s="487"/>
      <c r="AT287" s="487"/>
      <c r="AU287" s="487"/>
      <c r="AV287" s="487"/>
      <c r="AW287" s="487"/>
      <c r="AX287" s="487"/>
      <c r="AY287" s="487"/>
      <c r="AZ287" s="487"/>
    </row>
    <row r="288" spans="8:52" s="59" customFormat="1" ht="13.2" x14ac:dyDescent="0.25">
      <c r="H288" s="58"/>
      <c r="I288" s="101"/>
      <c r="J288" s="101"/>
      <c r="K288" s="58"/>
      <c r="L288" s="58"/>
      <c r="M288" s="105"/>
      <c r="N288" s="106"/>
      <c r="O288" s="107"/>
      <c r="P288" s="107"/>
      <c r="Q288" s="577"/>
      <c r="R288" s="1"/>
      <c r="S288" s="487"/>
      <c r="T288" s="487"/>
      <c r="U288" s="487"/>
      <c r="V288" s="487"/>
      <c r="W288" s="487"/>
      <c r="X288" s="487"/>
      <c r="Y288" s="487"/>
      <c r="Z288" s="487"/>
      <c r="AA288" s="487"/>
      <c r="AB288" s="487"/>
      <c r="AC288" s="487"/>
      <c r="AD288" s="487"/>
      <c r="AE288" s="487"/>
      <c r="AF288" s="487"/>
      <c r="AG288" s="487"/>
      <c r="AH288" s="487"/>
      <c r="AI288" s="487"/>
      <c r="AJ288" s="487"/>
      <c r="AK288" s="487"/>
      <c r="AL288" s="487"/>
      <c r="AM288" s="487"/>
      <c r="AN288" s="487"/>
      <c r="AO288" s="487"/>
      <c r="AP288" s="487"/>
      <c r="AQ288" s="487"/>
      <c r="AR288" s="487"/>
      <c r="AS288" s="487"/>
      <c r="AT288" s="487"/>
      <c r="AU288" s="487"/>
      <c r="AV288" s="487"/>
      <c r="AW288" s="487"/>
      <c r="AX288" s="487"/>
      <c r="AY288" s="487"/>
      <c r="AZ288" s="487"/>
    </row>
    <row r="289" spans="8:52" s="59" customFormat="1" ht="13.2" x14ac:dyDescent="0.25">
      <c r="H289" s="58"/>
      <c r="I289" s="101"/>
      <c r="J289" s="101"/>
      <c r="K289" s="58"/>
      <c r="L289" s="58"/>
      <c r="M289" s="105"/>
      <c r="N289" s="106"/>
      <c r="O289" s="107"/>
      <c r="P289" s="107"/>
      <c r="Q289" s="577"/>
      <c r="R289" s="1"/>
      <c r="S289" s="487"/>
      <c r="T289" s="487"/>
      <c r="U289" s="487"/>
      <c r="V289" s="487"/>
      <c r="W289" s="487"/>
      <c r="X289" s="487"/>
      <c r="Y289" s="487"/>
      <c r="Z289" s="487"/>
      <c r="AA289" s="487"/>
      <c r="AB289" s="487"/>
      <c r="AC289" s="487"/>
      <c r="AD289" s="487"/>
      <c r="AE289" s="487"/>
      <c r="AF289" s="487"/>
      <c r="AG289" s="487"/>
      <c r="AH289" s="487"/>
      <c r="AI289" s="487"/>
      <c r="AJ289" s="487"/>
      <c r="AK289" s="487"/>
      <c r="AL289" s="487"/>
      <c r="AM289" s="487"/>
      <c r="AN289" s="487"/>
      <c r="AO289" s="487"/>
      <c r="AP289" s="487"/>
      <c r="AQ289" s="487"/>
      <c r="AR289" s="487"/>
      <c r="AS289" s="487"/>
      <c r="AT289" s="487"/>
      <c r="AU289" s="487"/>
      <c r="AV289" s="487"/>
      <c r="AW289" s="487"/>
      <c r="AX289" s="487"/>
      <c r="AY289" s="487"/>
      <c r="AZ289" s="487"/>
    </row>
    <row r="290" spans="8:52" s="59" customFormat="1" ht="13.2" x14ac:dyDescent="0.25">
      <c r="H290" s="58"/>
      <c r="I290" s="101"/>
      <c r="J290" s="101"/>
      <c r="K290" s="58"/>
      <c r="L290" s="58"/>
      <c r="M290" s="105"/>
      <c r="N290" s="106"/>
      <c r="O290" s="107"/>
      <c r="P290" s="107"/>
      <c r="Q290" s="577"/>
      <c r="R290" s="1"/>
      <c r="S290" s="487"/>
      <c r="T290" s="487"/>
      <c r="U290" s="487"/>
      <c r="V290" s="487"/>
      <c r="W290" s="487"/>
      <c r="X290" s="487"/>
      <c r="Y290" s="487"/>
      <c r="Z290" s="487"/>
      <c r="AA290" s="487"/>
      <c r="AB290" s="487"/>
      <c r="AC290" s="487"/>
      <c r="AD290" s="487"/>
      <c r="AE290" s="487"/>
      <c r="AF290" s="487"/>
      <c r="AG290" s="487"/>
      <c r="AH290" s="487"/>
      <c r="AI290" s="487"/>
      <c r="AJ290" s="487"/>
      <c r="AK290" s="487"/>
      <c r="AL290" s="487"/>
      <c r="AM290" s="487"/>
      <c r="AN290" s="487"/>
      <c r="AO290" s="487"/>
      <c r="AP290" s="487"/>
      <c r="AQ290" s="487"/>
      <c r="AR290" s="487"/>
      <c r="AS290" s="487"/>
      <c r="AT290" s="487"/>
      <c r="AU290" s="487"/>
      <c r="AV290" s="487"/>
      <c r="AW290" s="487"/>
      <c r="AX290" s="487"/>
      <c r="AY290" s="487"/>
      <c r="AZ290" s="487"/>
    </row>
    <row r="291" spans="8:52" s="59" customFormat="1" ht="13.2" x14ac:dyDescent="0.25">
      <c r="H291" s="58"/>
      <c r="I291" s="101"/>
      <c r="J291" s="101"/>
      <c r="K291" s="58"/>
      <c r="L291" s="58"/>
      <c r="M291" s="105"/>
      <c r="N291" s="106"/>
      <c r="O291" s="107"/>
      <c r="P291" s="107"/>
      <c r="Q291" s="577"/>
      <c r="R291" s="1"/>
      <c r="S291" s="487"/>
      <c r="T291" s="487"/>
      <c r="U291" s="487"/>
      <c r="V291" s="487"/>
      <c r="W291" s="487"/>
      <c r="X291" s="487"/>
      <c r="Y291" s="487"/>
      <c r="Z291" s="487"/>
      <c r="AA291" s="487"/>
      <c r="AB291" s="487"/>
      <c r="AC291" s="487"/>
      <c r="AD291" s="487"/>
      <c r="AE291" s="487"/>
      <c r="AF291" s="487"/>
      <c r="AG291" s="487"/>
      <c r="AH291" s="487"/>
      <c r="AI291" s="487"/>
      <c r="AJ291" s="487"/>
      <c r="AK291" s="487"/>
      <c r="AL291" s="487"/>
      <c r="AM291" s="487"/>
      <c r="AN291" s="487"/>
      <c r="AO291" s="487"/>
      <c r="AP291" s="487"/>
      <c r="AQ291" s="487"/>
      <c r="AR291" s="487"/>
      <c r="AS291" s="487"/>
      <c r="AT291" s="487"/>
      <c r="AU291" s="487"/>
      <c r="AV291" s="487"/>
      <c r="AW291" s="487"/>
      <c r="AX291" s="487"/>
      <c r="AY291" s="487"/>
      <c r="AZ291" s="487"/>
    </row>
    <row r="292" spans="8:52" s="59" customFormat="1" ht="13.2" x14ac:dyDescent="0.25">
      <c r="H292" s="58"/>
      <c r="I292" s="101"/>
      <c r="J292" s="101"/>
      <c r="K292" s="58"/>
      <c r="L292" s="58"/>
      <c r="M292" s="105"/>
      <c r="N292" s="106"/>
      <c r="O292" s="107"/>
      <c r="P292" s="107"/>
      <c r="Q292" s="577"/>
      <c r="R292" s="1"/>
      <c r="S292" s="487"/>
      <c r="T292" s="487"/>
      <c r="U292" s="487"/>
      <c r="V292" s="487"/>
      <c r="W292" s="487"/>
      <c r="X292" s="487"/>
      <c r="Y292" s="487"/>
      <c r="Z292" s="487"/>
      <c r="AA292" s="487"/>
      <c r="AB292" s="487"/>
      <c r="AC292" s="487"/>
      <c r="AD292" s="487"/>
      <c r="AE292" s="487"/>
      <c r="AF292" s="487"/>
      <c r="AG292" s="487"/>
      <c r="AH292" s="487"/>
      <c r="AI292" s="487"/>
      <c r="AJ292" s="487"/>
      <c r="AK292" s="487"/>
      <c r="AL292" s="487"/>
      <c r="AM292" s="487"/>
      <c r="AN292" s="487"/>
      <c r="AO292" s="487"/>
      <c r="AP292" s="487"/>
      <c r="AQ292" s="487"/>
      <c r="AR292" s="487"/>
      <c r="AS292" s="487"/>
      <c r="AT292" s="487"/>
      <c r="AU292" s="487"/>
      <c r="AV292" s="487"/>
      <c r="AW292" s="487"/>
      <c r="AX292" s="487"/>
      <c r="AY292" s="487"/>
      <c r="AZ292" s="487"/>
    </row>
    <row r="293" spans="8:52" s="59" customFormat="1" ht="13.2" x14ac:dyDescent="0.25">
      <c r="H293" s="58"/>
      <c r="I293" s="101"/>
      <c r="J293" s="101"/>
      <c r="K293" s="58"/>
      <c r="L293" s="58"/>
      <c r="M293" s="105"/>
      <c r="N293" s="106"/>
      <c r="O293" s="107"/>
      <c r="P293" s="107"/>
      <c r="Q293" s="577"/>
      <c r="R293" s="1"/>
      <c r="S293" s="487"/>
      <c r="T293" s="487"/>
      <c r="U293" s="487"/>
      <c r="V293" s="487"/>
      <c r="W293" s="487"/>
      <c r="X293" s="487"/>
      <c r="Y293" s="487"/>
      <c r="Z293" s="487"/>
      <c r="AA293" s="487"/>
      <c r="AB293" s="487"/>
      <c r="AC293" s="487"/>
      <c r="AD293" s="487"/>
      <c r="AE293" s="487"/>
      <c r="AF293" s="487"/>
      <c r="AG293" s="487"/>
      <c r="AH293" s="487"/>
      <c r="AI293" s="487"/>
      <c r="AJ293" s="487"/>
      <c r="AK293" s="487"/>
      <c r="AL293" s="487"/>
      <c r="AM293" s="487"/>
      <c r="AN293" s="487"/>
      <c r="AO293" s="487"/>
      <c r="AP293" s="487"/>
      <c r="AQ293" s="487"/>
      <c r="AR293" s="487"/>
      <c r="AS293" s="487"/>
      <c r="AT293" s="487"/>
      <c r="AU293" s="487"/>
      <c r="AV293" s="487"/>
      <c r="AW293" s="487"/>
      <c r="AX293" s="487"/>
      <c r="AY293" s="487"/>
      <c r="AZ293" s="487"/>
    </row>
    <row r="294" spans="8:52" s="59" customFormat="1" ht="13.2" x14ac:dyDescent="0.25">
      <c r="H294" s="58"/>
      <c r="I294" s="101"/>
      <c r="J294" s="101"/>
      <c r="K294" s="58"/>
      <c r="L294" s="58"/>
      <c r="M294" s="105"/>
      <c r="N294" s="106"/>
      <c r="O294" s="107"/>
      <c r="P294" s="107"/>
      <c r="Q294" s="577"/>
      <c r="R294" s="1"/>
      <c r="S294" s="487"/>
      <c r="T294" s="487"/>
      <c r="U294" s="487"/>
      <c r="V294" s="487"/>
      <c r="W294" s="487"/>
      <c r="X294" s="487"/>
      <c r="Y294" s="487"/>
      <c r="Z294" s="487"/>
      <c r="AA294" s="487"/>
      <c r="AB294" s="487"/>
      <c r="AC294" s="487"/>
      <c r="AD294" s="487"/>
      <c r="AE294" s="487"/>
      <c r="AF294" s="487"/>
      <c r="AG294" s="487"/>
      <c r="AH294" s="487"/>
      <c r="AI294" s="487"/>
      <c r="AJ294" s="487"/>
      <c r="AK294" s="487"/>
      <c r="AL294" s="487"/>
      <c r="AM294" s="487"/>
      <c r="AN294" s="487"/>
      <c r="AO294" s="487"/>
      <c r="AP294" s="487"/>
      <c r="AQ294" s="487"/>
      <c r="AR294" s="487"/>
      <c r="AS294" s="487"/>
      <c r="AT294" s="487"/>
      <c r="AU294" s="487"/>
      <c r="AV294" s="487"/>
      <c r="AW294" s="487"/>
      <c r="AX294" s="487"/>
      <c r="AY294" s="487"/>
      <c r="AZ294" s="487"/>
    </row>
    <row r="295" spans="8:52" s="59" customFormat="1" ht="13.2" x14ac:dyDescent="0.25">
      <c r="H295" s="58"/>
      <c r="I295" s="101"/>
      <c r="J295" s="101"/>
      <c r="K295" s="58"/>
      <c r="L295" s="58"/>
      <c r="M295" s="105"/>
      <c r="N295" s="106"/>
      <c r="O295" s="107"/>
      <c r="P295" s="107"/>
      <c r="Q295" s="577"/>
      <c r="R295" s="1"/>
      <c r="S295" s="487"/>
      <c r="T295" s="487"/>
      <c r="U295" s="487"/>
      <c r="V295" s="487"/>
      <c r="W295" s="487"/>
      <c r="X295" s="487"/>
      <c r="Y295" s="487"/>
      <c r="Z295" s="487"/>
      <c r="AA295" s="487"/>
      <c r="AB295" s="487"/>
      <c r="AC295" s="487"/>
      <c r="AD295" s="487"/>
      <c r="AE295" s="487"/>
      <c r="AF295" s="487"/>
      <c r="AG295" s="487"/>
      <c r="AH295" s="487"/>
      <c r="AI295" s="487"/>
      <c r="AJ295" s="487"/>
      <c r="AK295" s="487"/>
      <c r="AL295" s="487"/>
      <c r="AM295" s="487"/>
      <c r="AN295" s="487"/>
      <c r="AO295" s="487"/>
      <c r="AP295" s="487"/>
      <c r="AQ295" s="487"/>
      <c r="AR295" s="487"/>
      <c r="AS295" s="487"/>
      <c r="AT295" s="487"/>
      <c r="AU295" s="487"/>
      <c r="AV295" s="487"/>
      <c r="AW295" s="487"/>
      <c r="AX295" s="487"/>
      <c r="AY295" s="487"/>
      <c r="AZ295" s="487"/>
    </row>
    <row r="296" spans="8:52" s="59" customFormat="1" ht="13.2" x14ac:dyDescent="0.25">
      <c r="H296" s="58"/>
      <c r="I296" s="101"/>
      <c r="J296" s="101"/>
      <c r="K296" s="58"/>
      <c r="L296" s="58"/>
      <c r="M296" s="105"/>
      <c r="N296" s="106"/>
      <c r="O296" s="107"/>
      <c r="P296" s="107"/>
      <c r="Q296" s="577"/>
      <c r="R296" s="1"/>
      <c r="S296" s="487"/>
      <c r="T296" s="487"/>
      <c r="U296" s="487"/>
      <c r="V296" s="487"/>
      <c r="W296" s="487"/>
      <c r="X296" s="487"/>
      <c r="Y296" s="487"/>
      <c r="Z296" s="487"/>
      <c r="AA296" s="487"/>
      <c r="AB296" s="487"/>
      <c r="AC296" s="487"/>
      <c r="AD296" s="487"/>
      <c r="AE296" s="487"/>
      <c r="AF296" s="487"/>
      <c r="AG296" s="487"/>
      <c r="AH296" s="487"/>
      <c r="AI296" s="487"/>
      <c r="AJ296" s="487"/>
      <c r="AK296" s="487"/>
      <c r="AL296" s="487"/>
      <c r="AM296" s="487"/>
      <c r="AN296" s="487"/>
      <c r="AO296" s="487"/>
      <c r="AP296" s="487"/>
      <c r="AQ296" s="487"/>
      <c r="AR296" s="487"/>
      <c r="AS296" s="487"/>
      <c r="AT296" s="487"/>
      <c r="AU296" s="487"/>
      <c r="AV296" s="487"/>
      <c r="AW296" s="487"/>
      <c r="AX296" s="487"/>
      <c r="AY296" s="487"/>
      <c r="AZ296" s="487"/>
    </row>
    <row r="297" spans="8:52" s="59" customFormat="1" ht="13.2" x14ac:dyDescent="0.25">
      <c r="H297" s="58"/>
      <c r="I297" s="101"/>
      <c r="J297" s="101"/>
      <c r="K297" s="58"/>
      <c r="L297" s="58"/>
      <c r="M297" s="105"/>
      <c r="N297" s="106"/>
      <c r="O297" s="107"/>
      <c r="P297" s="107"/>
      <c r="Q297" s="577"/>
      <c r="R297" s="1"/>
      <c r="S297" s="487"/>
      <c r="T297" s="487"/>
      <c r="U297" s="487"/>
      <c r="V297" s="487"/>
      <c r="W297" s="487"/>
      <c r="X297" s="487"/>
      <c r="Y297" s="487"/>
      <c r="Z297" s="487"/>
      <c r="AA297" s="487"/>
      <c r="AB297" s="487"/>
      <c r="AC297" s="487"/>
      <c r="AD297" s="487"/>
      <c r="AE297" s="487"/>
      <c r="AF297" s="487"/>
      <c r="AG297" s="487"/>
      <c r="AH297" s="487"/>
      <c r="AI297" s="487"/>
      <c r="AJ297" s="487"/>
      <c r="AK297" s="487"/>
      <c r="AL297" s="487"/>
      <c r="AM297" s="487"/>
      <c r="AN297" s="487"/>
      <c r="AO297" s="487"/>
      <c r="AP297" s="487"/>
      <c r="AQ297" s="487"/>
      <c r="AR297" s="487"/>
      <c r="AS297" s="487"/>
      <c r="AT297" s="487"/>
      <c r="AU297" s="487"/>
      <c r="AV297" s="487"/>
      <c r="AW297" s="487"/>
      <c r="AX297" s="487"/>
      <c r="AY297" s="487"/>
      <c r="AZ297" s="487"/>
    </row>
    <row r="298" spans="8:52" s="59" customFormat="1" ht="13.2" x14ac:dyDescent="0.25">
      <c r="H298" s="58"/>
      <c r="I298" s="101"/>
      <c r="J298" s="101"/>
      <c r="K298" s="58"/>
      <c r="L298" s="58"/>
      <c r="M298" s="105"/>
      <c r="N298" s="106"/>
      <c r="O298" s="107"/>
      <c r="P298" s="107"/>
      <c r="Q298" s="577"/>
      <c r="R298" s="1"/>
      <c r="S298" s="487"/>
      <c r="T298" s="487"/>
      <c r="U298" s="487"/>
      <c r="V298" s="487"/>
      <c r="W298" s="487"/>
      <c r="X298" s="487"/>
      <c r="Y298" s="487"/>
      <c r="Z298" s="487"/>
      <c r="AA298" s="487"/>
      <c r="AB298" s="487"/>
      <c r="AC298" s="487"/>
      <c r="AD298" s="487"/>
      <c r="AE298" s="487"/>
      <c r="AF298" s="487"/>
      <c r="AG298" s="487"/>
      <c r="AH298" s="487"/>
      <c r="AI298" s="487"/>
      <c r="AJ298" s="487"/>
      <c r="AK298" s="487"/>
      <c r="AL298" s="487"/>
      <c r="AM298" s="487"/>
      <c r="AN298" s="487"/>
      <c r="AO298" s="487"/>
      <c r="AP298" s="487"/>
      <c r="AQ298" s="487"/>
      <c r="AR298" s="487"/>
      <c r="AS298" s="487"/>
      <c r="AT298" s="487"/>
      <c r="AU298" s="487"/>
      <c r="AV298" s="487"/>
      <c r="AW298" s="487"/>
      <c r="AX298" s="487"/>
      <c r="AY298" s="487"/>
      <c r="AZ298" s="487"/>
    </row>
    <row r="299" spans="8:52" s="59" customFormat="1" ht="13.2" x14ac:dyDescent="0.25">
      <c r="H299" s="58"/>
      <c r="I299" s="101"/>
      <c r="J299" s="101"/>
      <c r="K299" s="58"/>
      <c r="L299" s="58"/>
      <c r="M299" s="105"/>
      <c r="N299" s="106"/>
      <c r="O299" s="107"/>
      <c r="P299" s="107"/>
      <c r="Q299" s="577"/>
      <c r="R299" s="1"/>
      <c r="S299" s="487"/>
      <c r="T299" s="487"/>
      <c r="U299" s="487"/>
      <c r="V299" s="487"/>
      <c r="W299" s="487"/>
      <c r="X299" s="487"/>
      <c r="Y299" s="487"/>
      <c r="Z299" s="487"/>
      <c r="AA299" s="487"/>
      <c r="AB299" s="487"/>
      <c r="AC299" s="487"/>
      <c r="AD299" s="487"/>
      <c r="AE299" s="487"/>
      <c r="AF299" s="487"/>
      <c r="AG299" s="487"/>
      <c r="AH299" s="487"/>
      <c r="AI299" s="487"/>
      <c r="AJ299" s="487"/>
      <c r="AK299" s="487"/>
      <c r="AL299" s="487"/>
      <c r="AM299" s="487"/>
      <c r="AN299" s="487"/>
      <c r="AO299" s="487"/>
      <c r="AP299" s="487"/>
      <c r="AQ299" s="487"/>
      <c r="AR299" s="487"/>
      <c r="AS299" s="487"/>
      <c r="AT299" s="487"/>
      <c r="AU299" s="487"/>
      <c r="AV299" s="487"/>
      <c r="AW299" s="487"/>
      <c r="AX299" s="487"/>
      <c r="AY299" s="487"/>
      <c r="AZ299" s="487"/>
    </row>
    <row r="300" spans="8:52" s="59" customFormat="1" ht="13.2" x14ac:dyDescent="0.25">
      <c r="H300" s="58"/>
      <c r="I300" s="101"/>
      <c r="J300" s="101"/>
      <c r="K300" s="58"/>
      <c r="L300" s="58"/>
      <c r="M300" s="105"/>
      <c r="N300" s="106"/>
      <c r="O300" s="107"/>
      <c r="P300" s="107"/>
      <c r="Q300" s="577"/>
      <c r="R300" s="1"/>
      <c r="S300" s="487"/>
      <c r="T300" s="487"/>
      <c r="U300" s="487"/>
      <c r="V300" s="487"/>
      <c r="W300" s="487"/>
      <c r="X300" s="487"/>
      <c r="Y300" s="487"/>
      <c r="Z300" s="487"/>
      <c r="AA300" s="487"/>
      <c r="AB300" s="487"/>
      <c r="AC300" s="487"/>
      <c r="AD300" s="487"/>
      <c r="AE300" s="487"/>
      <c r="AF300" s="487"/>
      <c r="AG300" s="487"/>
      <c r="AH300" s="487"/>
      <c r="AI300" s="487"/>
      <c r="AJ300" s="487"/>
      <c r="AK300" s="487"/>
      <c r="AL300" s="487"/>
      <c r="AM300" s="487"/>
      <c r="AN300" s="487"/>
      <c r="AO300" s="487"/>
      <c r="AP300" s="487"/>
      <c r="AQ300" s="487"/>
      <c r="AR300" s="487"/>
      <c r="AS300" s="487"/>
      <c r="AT300" s="487"/>
      <c r="AU300" s="487"/>
      <c r="AV300" s="487"/>
      <c r="AW300" s="487"/>
      <c r="AX300" s="487"/>
      <c r="AY300" s="487"/>
      <c r="AZ300" s="487"/>
    </row>
    <row r="301" spans="8:52" s="59" customFormat="1" ht="13.2" x14ac:dyDescent="0.25">
      <c r="H301" s="58"/>
      <c r="I301" s="101"/>
      <c r="J301" s="101"/>
      <c r="K301" s="58"/>
      <c r="L301" s="58"/>
      <c r="M301" s="105"/>
      <c r="N301" s="106"/>
      <c r="O301" s="107"/>
      <c r="P301" s="107"/>
      <c r="Q301" s="577"/>
      <c r="R301" s="1"/>
      <c r="S301" s="487"/>
      <c r="T301" s="487"/>
      <c r="U301" s="487"/>
      <c r="V301" s="487"/>
      <c r="W301" s="487"/>
      <c r="X301" s="487"/>
      <c r="Y301" s="487"/>
      <c r="Z301" s="487"/>
      <c r="AA301" s="487"/>
      <c r="AB301" s="487"/>
      <c r="AC301" s="487"/>
      <c r="AD301" s="487"/>
      <c r="AE301" s="487"/>
      <c r="AF301" s="487"/>
      <c r="AG301" s="487"/>
      <c r="AH301" s="487"/>
      <c r="AI301" s="487"/>
      <c r="AJ301" s="487"/>
      <c r="AK301" s="487"/>
      <c r="AL301" s="487"/>
      <c r="AM301" s="487"/>
      <c r="AN301" s="487"/>
      <c r="AO301" s="487"/>
      <c r="AP301" s="487"/>
      <c r="AQ301" s="487"/>
      <c r="AR301" s="487"/>
      <c r="AS301" s="487"/>
      <c r="AT301" s="487"/>
      <c r="AU301" s="487"/>
      <c r="AV301" s="487"/>
      <c r="AW301" s="487"/>
      <c r="AX301" s="487"/>
      <c r="AY301" s="487"/>
      <c r="AZ301" s="487"/>
    </row>
    <row r="302" spans="8:52" s="59" customFormat="1" ht="13.2" x14ac:dyDescent="0.25">
      <c r="H302" s="58"/>
      <c r="I302" s="101"/>
      <c r="J302" s="101"/>
      <c r="K302" s="58"/>
      <c r="L302" s="58"/>
      <c r="M302" s="105"/>
      <c r="N302" s="106"/>
      <c r="O302" s="107"/>
      <c r="P302" s="107"/>
      <c r="Q302" s="577"/>
      <c r="R302" s="1"/>
      <c r="S302" s="487"/>
      <c r="T302" s="487"/>
      <c r="U302" s="487"/>
      <c r="V302" s="487"/>
      <c r="W302" s="487"/>
      <c r="X302" s="487"/>
      <c r="Y302" s="487"/>
      <c r="Z302" s="487"/>
      <c r="AA302" s="487"/>
      <c r="AB302" s="487"/>
      <c r="AC302" s="487"/>
      <c r="AD302" s="487"/>
      <c r="AE302" s="487"/>
      <c r="AF302" s="487"/>
      <c r="AG302" s="487"/>
      <c r="AH302" s="487"/>
      <c r="AI302" s="487"/>
      <c r="AJ302" s="487"/>
      <c r="AK302" s="487"/>
      <c r="AL302" s="487"/>
      <c r="AM302" s="487"/>
      <c r="AN302" s="487"/>
      <c r="AO302" s="487"/>
      <c r="AP302" s="487"/>
      <c r="AQ302" s="487"/>
      <c r="AR302" s="487"/>
      <c r="AS302" s="487"/>
      <c r="AT302" s="487"/>
      <c r="AU302" s="487"/>
      <c r="AV302" s="487"/>
      <c r="AW302" s="487"/>
      <c r="AX302" s="487"/>
      <c r="AY302" s="487"/>
      <c r="AZ302" s="487"/>
    </row>
    <row r="303" spans="8:52" s="59" customFormat="1" ht="13.2" x14ac:dyDescent="0.25">
      <c r="H303" s="58"/>
      <c r="I303" s="101"/>
      <c r="J303" s="101"/>
      <c r="K303" s="58"/>
      <c r="L303" s="58"/>
      <c r="M303" s="105"/>
      <c r="N303" s="106"/>
      <c r="O303" s="107"/>
      <c r="P303" s="107"/>
      <c r="Q303" s="577"/>
      <c r="R303" s="1"/>
      <c r="S303" s="487"/>
      <c r="T303" s="487"/>
      <c r="U303" s="487"/>
      <c r="V303" s="487"/>
      <c r="W303" s="487"/>
      <c r="X303" s="487"/>
      <c r="Y303" s="487"/>
      <c r="Z303" s="487"/>
      <c r="AA303" s="487"/>
      <c r="AB303" s="487"/>
      <c r="AC303" s="487"/>
      <c r="AD303" s="487"/>
      <c r="AE303" s="487"/>
      <c r="AF303" s="487"/>
      <c r="AG303" s="487"/>
      <c r="AH303" s="487"/>
      <c r="AI303" s="487"/>
      <c r="AJ303" s="487"/>
      <c r="AK303" s="487"/>
      <c r="AL303" s="487"/>
      <c r="AM303" s="487"/>
      <c r="AN303" s="487"/>
      <c r="AO303" s="487"/>
      <c r="AP303" s="487"/>
      <c r="AQ303" s="487"/>
      <c r="AR303" s="487"/>
      <c r="AS303" s="487"/>
      <c r="AT303" s="487"/>
      <c r="AU303" s="487"/>
      <c r="AV303" s="487"/>
      <c r="AW303" s="487"/>
      <c r="AX303" s="487"/>
      <c r="AY303" s="487"/>
      <c r="AZ303" s="487"/>
    </row>
    <row r="304" spans="8:52" s="59" customFormat="1" ht="13.2" x14ac:dyDescent="0.25">
      <c r="H304" s="58"/>
      <c r="I304" s="101"/>
      <c r="J304" s="101"/>
      <c r="K304" s="58"/>
      <c r="L304" s="58"/>
      <c r="M304" s="105"/>
      <c r="N304" s="106"/>
      <c r="O304" s="107"/>
      <c r="P304" s="107"/>
      <c r="Q304" s="577"/>
      <c r="R304" s="1"/>
      <c r="S304" s="487"/>
      <c r="T304" s="487"/>
      <c r="U304" s="487"/>
      <c r="V304" s="487"/>
      <c r="W304" s="487"/>
      <c r="X304" s="487"/>
      <c r="Y304" s="487"/>
      <c r="Z304" s="487"/>
      <c r="AA304" s="487"/>
      <c r="AB304" s="487"/>
      <c r="AC304" s="487"/>
      <c r="AD304" s="487"/>
      <c r="AE304" s="487"/>
      <c r="AF304" s="487"/>
      <c r="AG304" s="487"/>
      <c r="AH304" s="487"/>
      <c r="AI304" s="487"/>
      <c r="AJ304" s="487"/>
      <c r="AK304" s="487"/>
      <c r="AL304" s="487"/>
      <c r="AM304" s="487"/>
      <c r="AN304" s="487"/>
      <c r="AO304" s="487"/>
      <c r="AP304" s="487"/>
      <c r="AQ304" s="487"/>
      <c r="AR304" s="487"/>
      <c r="AS304" s="487"/>
      <c r="AT304" s="487"/>
      <c r="AU304" s="487"/>
      <c r="AV304" s="487"/>
      <c r="AW304" s="487"/>
      <c r="AX304" s="487"/>
      <c r="AY304" s="487"/>
      <c r="AZ304" s="487"/>
    </row>
    <row r="305" spans="8:52" s="59" customFormat="1" ht="13.2" x14ac:dyDescent="0.25">
      <c r="H305" s="58"/>
      <c r="I305" s="101"/>
      <c r="J305" s="101"/>
      <c r="K305" s="58"/>
      <c r="L305" s="58"/>
      <c r="M305" s="105"/>
      <c r="N305" s="106"/>
      <c r="O305" s="107"/>
      <c r="P305" s="107"/>
      <c r="Q305" s="577"/>
      <c r="R305" s="1"/>
      <c r="S305" s="487"/>
      <c r="T305" s="487"/>
      <c r="U305" s="487"/>
      <c r="V305" s="487"/>
      <c r="W305" s="487"/>
      <c r="X305" s="487"/>
      <c r="Y305" s="487"/>
      <c r="Z305" s="487"/>
      <c r="AA305" s="487"/>
      <c r="AB305" s="487"/>
      <c r="AC305" s="487"/>
      <c r="AD305" s="487"/>
      <c r="AE305" s="487"/>
      <c r="AF305" s="487"/>
      <c r="AG305" s="487"/>
      <c r="AH305" s="487"/>
      <c r="AI305" s="487"/>
      <c r="AJ305" s="487"/>
      <c r="AK305" s="487"/>
      <c r="AL305" s="487"/>
      <c r="AM305" s="487"/>
      <c r="AN305" s="487"/>
      <c r="AO305" s="487"/>
      <c r="AP305" s="487"/>
      <c r="AQ305" s="487"/>
      <c r="AR305" s="487"/>
      <c r="AS305" s="487"/>
      <c r="AT305" s="487"/>
      <c r="AU305" s="487"/>
      <c r="AV305" s="487"/>
      <c r="AW305" s="487"/>
      <c r="AX305" s="487"/>
      <c r="AY305" s="487"/>
      <c r="AZ305" s="487"/>
    </row>
    <row r="306" spans="8:52" s="59" customFormat="1" ht="13.2" x14ac:dyDescent="0.25">
      <c r="H306" s="58"/>
      <c r="I306" s="101"/>
      <c r="J306" s="101"/>
      <c r="K306" s="58"/>
      <c r="L306" s="58"/>
      <c r="M306" s="105"/>
      <c r="N306" s="106"/>
      <c r="O306" s="107"/>
      <c r="P306" s="107"/>
      <c r="Q306" s="577"/>
      <c r="R306" s="1"/>
      <c r="S306" s="487"/>
      <c r="T306" s="487"/>
      <c r="U306" s="487"/>
      <c r="V306" s="487"/>
      <c r="W306" s="487"/>
      <c r="X306" s="487"/>
      <c r="Y306" s="487"/>
      <c r="Z306" s="487"/>
      <c r="AA306" s="487"/>
      <c r="AB306" s="487"/>
      <c r="AC306" s="487"/>
      <c r="AD306" s="487"/>
      <c r="AE306" s="487"/>
      <c r="AF306" s="487"/>
      <c r="AG306" s="487"/>
      <c r="AH306" s="487"/>
      <c r="AI306" s="487"/>
      <c r="AJ306" s="487"/>
      <c r="AK306" s="487"/>
      <c r="AL306" s="487"/>
      <c r="AM306" s="487"/>
      <c r="AN306" s="487"/>
      <c r="AO306" s="487"/>
      <c r="AP306" s="487"/>
      <c r="AQ306" s="487"/>
      <c r="AR306" s="487"/>
      <c r="AS306" s="487"/>
      <c r="AT306" s="487"/>
      <c r="AU306" s="487"/>
      <c r="AV306" s="487"/>
      <c r="AW306" s="487"/>
      <c r="AX306" s="487"/>
      <c r="AY306" s="487"/>
      <c r="AZ306" s="487"/>
    </row>
    <row r="307" spans="8:52" s="59" customFormat="1" ht="13.2" x14ac:dyDescent="0.25">
      <c r="H307" s="58"/>
      <c r="I307" s="101"/>
      <c r="J307" s="101"/>
      <c r="K307" s="58"/>
      <c r="L307" s="58"/>
      <c r="M307" s="105"/>
      <c r="N307" s="106"/>
      <c r="O307" s="107"/>
      <c r="P307" s="107"/>
      <c r="Q307" s="577"/>
      <c r="R307" s="1"/>
      <c r="S307" s="487"/>
      <c r="T307" s="487"/>
      <c r="U307" s="487"/>
      <c r="V307" s="487"/>
      <c r="W307" s="487"/>
      <c r="X307" s="487"/>
      <c r="Y307" s="487"/>
      <c r="Z307" s="487"/>
      <c r="AA307" s="487"/>
      <c r="AB307" s="487"/>
      <c r="AC307" s="487"/>
      <c r="AD307" s="487"/>
      <c r="AE307" s="487"/>
      <c r="AF307" s="487"/>
      <c r="AG307" s="487"/>
      <c r="AH307" s="487"/>
      <c r="AI307" s="487"/>
      <c r="AJ307" s="487"/>
      <c r="AK307" s="487"/>
      <c r="AL307" s="487"/>
      <c r="AM307" s="487"/>
      <c r="AN307" s="487"/>
      <c r="AO307" s="487"/>
      <c r="AP307" s="487"/>
      <c r="AQ307" s="487"/>
      <c r="AR307" s="487"/>
      <c r="AS307" s="487"/>
      <c r="AT307" s="487"/>
      <c r="AU307" s="487"/>
      <c r="AV307" s="487"/>
      <c r="AW307" s="487"/>
      <c r="AX307" s="487"/>
      <c r="AY307" s="487"/>
      <c r="AZ307" s="487"/>
    </row>
    <row r="308" spans="8:52" s="59" customFormat="1" ht="13.2" x14ac:dyDescent="0.25">
      <c r="H308" s="58"/>
      <c r="I308" s="101"/>
      <c r="J308" s="101"/>
      <c r="K308" s="58"/>
      <c r="L308" s="58"/>
      <c r="M308" s="105"/>
      <c r="N308" s="106"/>
      <c r="O308" s="107"/>
      <c r="P308" s="107"/>
      <c r="Q308" s="577"/>
      <c r="R308" s="1"/>
      <c r="S308" s="487"/>
      <c r="T308" s="487"/>
      <c r="U308" s="487"/>
      <c r="V308" s="487"/>
      <c r="W308" s="487"/>
      <c r="X308" s="487"/>
      <c r="Y308" s="487"/>
      <c r="Z308" s="487"/>
      <c r="AA308" s="487"/>
      <c r="AB308" s="487"/>
      <c r="AC308" s="487"/>
      <c r="AD308" s="487"/>
      <c r="AE308" s="487"/>
      <c r="AF308" s="487"/>
      <c r="AG308" s="487"/>
      <c r="AH308" s="487"/>
      <c r="AI308" s="487"/>
      <c r="AJ308" s="487"/>
      <c r="AK308" s="487"/>
      <c r="AL308" s="487"/>
      <c r="AM308" s="487"/>
      <c r="AN308" s="487"/>
      <c r="AO308" s="487"/>
      <c r="AP308" s="487"/>
      <c r="AQ308" s="487"/>
      <c r="AR308" s="487"/>
      <c r="AS308" s="487"/>
      <c r="AT308" s="487"/>
      <c r="AU308" s="487"/>
      <c r="AV308" s="487"/>
      <c r="AW308" s="487"/>
      <c r="AX308" s="487"/>
      <c r="AY308" s="487"/>
      <c r="AZ308" s="487"/>
    </row>
    <row r="309" spans="8:52" s="59" customFormat="1" ht="13.2" x14ac:dyDescent="0.25">
      <c r="H309" s="58"/>
      <c r="I309" s="101"/>
      <c r="J309" s="101"/>
      <c r="K309" s="58"/>
      <c r="L309" s="58"/>
      <c r="M309" s="105"/>
      <c r="N309" s="106"/>
      <c r="O309" s="107"/>
      <c r="P309" s="107"/>
      <c r="Q309" s="577"/>
      <c r="R309" s="1"/>
      <c r="S309" s="487"/>
      <c r="T309" s="487"/>
      <c r="U309" s="487"/>
      <c r="V309" s="487"/>
      <c r="W309" s="487"/>
      <c r="X309" s="487"/>
      <c r="Y309" s="487"/>
      <c r="Z309" s="487"/>
      <c r="AA309" s="487"/>
      <c r="AB309" s="487"/>
      <c r="AC309" s="487"/>
      <c r="AD309" s="487"/>
      <c r="AE309" s="487"/>
      <c r="AF309" s="487"/>
      <c r="AG309" s="487"/>
      <c r="AH309" s="487"/>
      <c r="AI309" s="487"/>
      <c r="AJ309" s="487"/>
      <c r="AK309" s="487"/>
      <c r="AL309" s="487"/>
      <c r="AM309" s="487"/>
      <c r="AN309" s="487"/>
      <c r="AO309" s="487"/>
      <c r="AP309" s="487"/>
      <c r="AQ309" s="487"/>
      <c r="AR309" s="487"/>
      <c r="AS309" s="487"/>
      <c r="AT309" s="487"/>
      <c r="AU309" s="487"/>
      <c r="AV309" s="487"/>
      <c r="AW309" s="487"/>
      <c r="AX309" s="487"/>
      <c r="AY309" s="487"/>
      <c r="AZ309" s="487"/>
    </row>
    <row r="310" spans="8:52" s="59" customFormat="1" ht="13.2" x14ac:dyDescent="0.25">
      <c r="H310" s="58"/>
      <c r="I310" s="101"/>
      <c r="J310" s="101"/>
      <c r="K310" s="58"/>
      <c r="L310" s="58"/>
      <c r="M310" s="105"/>
      <c r="N310" s="106"/>
      <c r="O310" s="107"/>
      <c r="P310" s="107"/>
      <c r="Q310" s="577"/>
      <c r="R310" s="1"/>
      <c r="S310" s="487"/>
      <c r="T310" s="487"/>
      <c r="U310" s="487"/>
      <c r="V310" s="487"/>
      <c r="W310" s="487"/>
      <c r="X310" s="487"/>
      <c r="Y310" s="487"/>
      <c r="Z310" s="487"/>
      <c r="AA310" s="487"/>
      <c r="AB310" s="487"/>
      <c r="AC310" s="487"/>
      <c r="AD310" s="487"/>
      <c r="AE310" s="487"/>
      <c r="AF310" s="487"/>
      <c r="AG310" s="487"/>
      <c r="AH310" s="487"/>
      <c r="AI310" s="487"/>
      <c r="AJ310" s="487"/>
      <c r="AK310" s="487"/>
      <c r="AL310" s="487"/>
      <c r="AM310" s="487"/>
      <c r="AN310" s="487"/>
      <c r="AO310" s="487"/>
      <c r="AP310" s="487"/>
      <c r="AQ310" s="487"/>
      <c r="AR310" s="487"/>
      <c r="AS310" s="487"/>
      <c r="AT310" s="487"/>
      <c r="AU310" s="487"/>
      <c r="AV310" s="487"/>
      <c r="AW310" s="487"/>
      <c r="AX310" s="487"/>
      <c r="AY310" s="487"/>
      <c r="AZ310" s="487"/>
    </row>
    <row r="311" spans="8:52" s="59" customFormat="1" ht="13.2" x14ac:dyDescent="0.25">
      <c r="H311" s="58"/>
      <c r="I311" s="101"/>
      <c r="J311" s="101"/>
      <c r="K311" s="58"/>
      <c r="L311" s="58"/>
      <c r="M311" s="105"/>
      <c r="N311" s="106"/>
      <c r="O311" s="107"/>
      <c r="P311" s="107"/>
      <c r="Q311" s="577"/>
      <c r="R311" s="1"/>
      <c r="S311" s="487"/>
      <c r="T311" s="487"/>
      <c r="U311" s="487"/>
      <c r="V311" s="487"/>
      <c r="W311" s="487"/>
      <c r="X311" s="487"/>
      <c r="Y311" s="487"/>
      <c r="Z311" s="487"/>
      <c r="AA311" s="487"/>
      <c r="AB311" s="487"/>
      <c r="AC311" s="487"/>
      <c r="AD311" s="487"/>
      <c r="AE311" s="487"/>
      <c r="AF311" s="487"/>
      <c r="AG311" s="487"/>
      <c r="AH311" s="487"/>
      <c r="AI311" s="487"/>
      <c r="AJ311" s="487"/>
      <c r="AK311" s="487"/>
      <c r="AL311" s="487"/>
      <c r="AM311" s="487"/>
      <c r="AN311" s="487"/>
      <c r="AO311" s="487"/>
      <c r="AP311" s="487"/>
      <c r="AQ311" s="487"/>
      <c r="AR311" s="487"/>
      <c r="AS311" s="487"/>
      <c r="AT311" s="487"/>
      <c r="AU311" s="487"/>
      <c r="AV311" s="487"/>
      <c r="AW311" s="487"/>
      <c r="AX311" s="487"/>
      <c r="AY311" s="487"/>
      <c r="AZ311" s="487"/>
    </row>
    <row r="312" spans="8:52" s="59" customFormat="1" ht="13.2" x14ac:dyDescent="0.25">
      <c r="H312" s="58"/>
      <c r="I312" s="101"/>
      <c r="J312" s="101"/>
      <c r="K312" s="58"/>
      <c r="L312" s="58"/>
      <c r="M312" s="105"/>
      <c r="N312" s="106"/>
      <c r="O312" s="107"/>
      <c r="P312" s="107"/>
      <c r="Q312" s="577"/>
      <c r="R312" s="1"/>
      <c r="S312" s="487"/>
      <c r="T312" s="487"/>
      <c r="U312" s="487"/>
      <c r="V312" s="487"/>
      <c r="W312" s="487"/>
      <c r="X312" s="487"/>
      <c r="Y312" s="487"/>
      <c r="Z312" s="487"/>
      <c r="AA312" s="487"/>
      <c r="AB312" s="487"/>
      <c r="AC312" s="487"/>
      <c r="AD312" s="487"/>
      <c r="AE312" s="487"/>
      <c r="AF312" s="487"/>
      <c r="AG312" s="487"/>
      <c r="AH312" s="487"/>
      <c r="AI312" s="487"/>
      <c r="AJ312" s="487"/>
      <c r="AK312" s="487"/>
      <c r="AL312" s="487"/>
      <c r="AM312" s="487"/>
      <c r="AN312" s="487"/>
      <c r="AO312" s="487"/>
      <c r="AP312" s="487"/>
      <c r="AQ312" s="487"/>
      <c r="AR312" s="487"/>
      <c r="AS312" s="487"/>
      <c r="AT312" s="487"/>
      <c r="AU312" s="487"/>
      <c r="AV312" s="487"/>
      <c r="AW312" s="487"/>
      <c r="AX312" s="487"/>
      <c r="AY312" s="487"/>
      <c r="AZ312" s="487"/>
    </row>
    <row r="313" spans="8:52" s="59" customFormat="1" ht="13.2" x14ac:dyDescent="0.25">
      <c r="H313" s="58"/>
      <c r="I313" s="101"/>
      <c r="J313" s="101"/>
      <c r="K313" s="58"/>
      <c r="L313" s="58"/>
      <c r="M313" s="105"/>
      <c r="N313" s="106"/>
      <c r="O313" s="107"/>
      <c r="P313" s="107"/>
      <c r="Q313" s="577"/>
      <c r="R313" s="1"/>
      <c r="S313" s="487"/>
      <c r="T313" s="487"/>
      <c r="U313" s="487"/>
      <c r="V313" s="487"/>
      <c r="W313" s="487"/>
      <c r="X313" s="487"/>
      <c r="Y313" s="487"/>
      <c r="Z313" s="487"/>
      <c r="AA313" s="487"/>
      <c r="AB313" s="487"/>
      <c r="AC313" s="487"/>
      <c r="AD313" s="487"/>
      <c r="AE313" s="487"/>
      <c r="AF313" s="487"/>
      <c r="AG313" s="487"/>
      <c r="AH313" s="487"/>
      <c r="AI313" s="487"/>
      <c r="AJ313" s="487"/>
      <c r="AK313" s="487"/>
      <c r="AL313" s="487"/>
      <c r="AM313" s="487"/>
      <c r="AN313" s="487"/>
      <c r="AO313" s="487"/>
      <c r="AP313" s="487"/>
      <c r="AQ313" s="487"/>
      <c r="AR313" s="487"/>
      <c r="AS313" s="487"/>
      <c r="AT313" s="487"/>
      <c r="AU313" s="487"/>
      <c r="AV313" s="487"/>
      <c r="AW313" s="487"/>
      <c r="AX313" s="487"/>
      <c r="AY313" s="487"/>
      <c r="AZ313" s="487"/>
    </row>
    <row r="314" spans="8:52" s="59" customFormat="1" ht="13.2" x14ac:dyDescent="0.25">
      <c r="H314" s="58"/>
      <c r="I314" s="101"/>
      <c r="J314" s="101"/>
      <c r="K314" s="58"/>
      <c r="L314" s="58"/>
      <c r="M314" s="105"/>
      <c r="N314" s="106"/>
      <c r="O314" s="107"/>
      <c r="P314" s="107"/>
      <c r="Q314" s="577"/>
      <c r="R314" s="1"/>
      <c r="S314" s="487"/>
      <c r="T314" s="487"/>
      <c r="U314" s="487"/>
      <c r="V314" s="487"/>
      <c r="W314" s="487"/>
      <c r="X314" s="487"/>
      <c r="Y314" s="487"/>
      <c r="Z314" s="487"/>
      <c r="AA314" s="487"/>
      <c r="AB314" s="487"/>
      <c r="AC314" s="487"/>
      <c r="AD314" s="487"/>
      <c r="AE314" s="487"/>
      <c r="AF314" s="487"/>
      <c r="AG314" s="487"/>
      <c r="AH314" s="487"/>
      <c r="AI314" s="487"/>
      <c r="AJ314" s="487"/>
      <c r="AK314" s="487"/>
      <c r="AL314" s="487"/>
      <c r="AM314" s="487"/>
      <c r="AN314" s="487"/>
      <c r="AO314" s="487"/>
      <c r="AP314" s="487"/>
      <c r="AQ314" s="487"/>
      <c r="AR314" s="487"/>
      <c r="AS314" s="487"/>
      <c r="AT314" s="487"/>
      <c r="AU314" s="487"/>
      <c r="AV314" s="487"/>
      <c r="AW314" s="487"/>
      <c r="AX314" s="487"/>
      <c r="AY314" s="487"/>
      <c r="AZ314" s="487"/>
    </row>
    <row r="315" spans="8:52" s="59" customFormat="1" ht="13.2" x14ac:dyDescent="0.25">
      <c r="H315" s="58"/>
      <c r="I315" s="101"/>
      <c r="J315" s="101"/>
      <c r="K315" s="58"/>
      <c r="L315" s="58"/>
      <c r="M315" s="105"/>
      <c r="N315" s="106"/>
      <c r="O315" s="107"/>
      <c r="P315" s="107"/>
      <c r="Q315" s="577"/>
      <c r="R315" s="1"/>
      <c r="S315" s="487"/>
      <c r="T315" s="487"/>
      <c r="U315" s="487"/>
      <c r="V315" s="487"/>
      <c r="W315" s="487"/>
      <c r="X315" s="487"/>
      <c r="Y315" s="487"/>
      <c r="Z315" s="487"/>
      <c r="AA315" s="487"/>
      <c r="AB315" s="487"/>
      <c r="AC315" s="487"/>
      <c r="AD315" s="487"/>
      <c r="AE315" s="487"/>
      <c r="AF315" s="487"/>
      <c r="AG315" s="487"/>
      <c r="AH315" s="487"/>
      <c r="AI315" s="487"/>
      <c r="AJ315" s="487"/>
      <c r="AK315" s="487"/>
      <c r="AL315" s="487"/>
      <c r="AM315" s="487"/>
      <c r="AN315" s="487"/>
      <c r="AO315" s="487"/>
      <c r="AP315" s="487"/>
      <c r="AQ315" s="487"/>
      <c r="AR315" s="487"/>
      <c r="AS315" s="487"/>
      <c r="AT315" s="487"/>
      <c r="AU315" s="487"/>
      <c r="AV315" s="487"/>
      <c r="AW315" s="487"/>
      <c r="AX315" s="487"/>
      <c r="AY315" s="487"/>
      <c r="AZ315" s="487"/>
    </row>
    <row r="316" spans="8:52" s="59" customFormat="1" ht="13.2" x14ac:dyDescent="0.25">
      <c r="H316" s="58"/>
      <c r="I316" s="101"/>
      <c r="J316" s="101"/>
      <c r="K316" s="58"/>
      <c r="L316" s="58"/>
      <c r="M316" s="105"/>
      <c r="N316" s="106"/>
      <c r="O316" s="107"/>
      <c r="P316" s="107"/>
      <c r="Q316" s="577"/>
      <c r="R316" s="1"/>
      <c r="S316" s="487"/>
      <c r="T316" s="487"/>
      <c r="U316" s="487"/>
      <c r="V316" s="487"/>
      <c r="W316" s="487"/>
      <c r="X316" s="487"/>
      <c r="Y316" s="487"/>
      <c r="Z316" s="487"/>
      <c r="AA316" s="487"/>
      <c r="AB316" s="487"/>
      <c r="AC316" s="487"/>
      <c r="AD316" s="487"/>
      <c r="AE316" s="487"/>
      <c r="AF316" s="487"/>
      <c r="AG316" s="487"/>
      <c r="AH316" s="487"/>
      <c r="AI316" s="487"/>
      <c r="AJ316" s="487"/>
      <c r="AK316" s="487"/>
      <c r="AL316" s="487"/>
      <c r="AM316" s="487"/>
      <c r="AN316" s="487"/>
      <c r="AO316" s="487"/>
      <c r="AP316" s="487"/>
      <c r="AQ316" s="487"/>
      <c r="AR316" s="487"/>
      <c r="AS316" s="487"/>
      <c r="AT316" s="487"/>
      <c r="AU316" s="487"/>
      <c r="AV316" s="487"/>
      <c r="AW316" s="487"/>
      <c r="AX316" s="487"/>
      <c r="AY316" s="487"/>
      <c r="AZ316" s="487"/>
    </row>
    <row r="317" spans="8:52" s="59" customFormat="1" ht="13.2" x14ac:dyDescent="0.25">
      <c r="H317" s="58"/>
      <c r="I317" s="101"/>
      <c r="J317" s="101"/>
      <c r="K317" s="58"/>
      <c r="L317" s="58"/>
      <c r="M317" s="105"/>
      <c r="N317" s="106"/>
      <c r="O317" s="107"/>
      <c r="P317" s="107"/>
      <c r="Q317" s="577"/>
      <c r="R317" s="1"/>
      <c r="S317" s="487"/>
      <c r="T317" s="487"/>
      <c r="U317" s="487"/>
      <c r="V317" s="487"/>
      <c r="W317" s="487"/>
      <c r="X317" s="487"/>
      <c r="Y317" s="487"/>
      <c r="Z317" s="487"/>
      <c r="AA317" s="487"/>
      <c r="AB317" s="487"/>
      <c r="AC317" s="487"/>
      <c r="AD317" s="487"/>
      <c r="AE317" s="487"/>
      <c r="AF317" s="487"/>
      <c r="AG317" s="487"/>
      <c r="AH317" s="487"/>
      <c r="AI317" s="487"/>
      <c r="AJ317" s="487"/>
      <c r="AK317" s="487"/>
      <c r="AL317" s="487"/>
      <c r="AM317" s="487"/>
      <c r="AN317" s="487"/>
      <c r="AO317" s="487"/>
      <c r="AP317" s="487"/>
      <c r="AQ317" s="487"/>
      <c r="AR317" s="487"/>
      <c r="AS317" s="487"/>
      <c r="AT317" s="487"/>
      <c r="AU317" s="487"/>
      <c r="AV317" s="487"/>
      <c r="AW317" s="487"/>
      <c r="AX317" s="487"/>
      <c r="AY317" s="487"/>
      <c r="AZ317" s="487"/>
    </row>
    <row r="318" spans="8:52" s="59" customFormat="1" ht="13.2" x14ac:dyDescent="0.25">
      <c r="H318" s="58"/>
      <c r="I318" s="101"/>
      <c r="J318" s="101"/>
      <c r="K318" s="58"/>
      <c r="L318" s="58"/>
      <c r="M318" s="105"/>
      <c r="N318" s="106"/>
      <c r="O318" s="107"/>
      <c r="P318" s="107"/>
      <c r="Q318" s="577"/>
      <c r="R318" s="1"/>
      <c r="S318" s="487"/>
      <c r="T318" s="487"/>
      <c r="U318" s="487"/>
      <c r="V318" s="487"/>
      <c r="W318" s="487"/>
      <c r="X318" s="487"/>
      <c r="Y318" s="487"/>
      <c r="Z318" s="487"/>
      <c r="AA318" s="487"/>
      <c r="AB318" s="487"/>
      <c r="AC318" s="487"/>
      <c r="AD318" s="487"/>
      <c r="AE318" s="487"/>
      <c r="AF318" s="487"/>
      <c r="AG318" s="487"/>
      <c r="AH318" s="487"/>
      <c r="AI318" s="487"/>
      <c r="AJ318" s="487"/>
      <c r="AK318" s="487"/>
      <c r="AL318" s="487"/>
      <c r="AM318" s="487"/>
      <c r="AN318" s="487"/>
      <c r="AO318" s="487"/>
      <c r="AP318" s="487"/>
      <c r="AQ318" s="487"/>
      <c r="AR318" s="487"/>
      <c r="AS318" s="487"/>
      <c r="AT318" s="487"/>
      <c r="AU318" s="487"/>
      <c r="AV318" s="487"/>
      <c r="AW318" s="487"/>
      <c r="AX318" s="487"/>
      <c r="AY318" s="487"/>
      <c r="AZ318" s="487"/>
    </row>
    <row r="319" spans="8:52" s="59" customFormat="1" ht="13.2" x14ac:dyDescent="0.25">
      <c r="H319" s="58"/>
      <c r="I319" s="101"/>
      <c r="J319" s="101"/>
      <c r="K319" s="58"/>
      <c r="L319" s="58"/>
      <c r="M319" s="105"/>
      <c r="N319" s="106"/>
      <c r="O319" s="107"/>
      <c r="P319" s="107"/>
      <c r="Q319" s="577"/>
      <c r="R319" s="1"/>
      <c r="S319" s="487"/>
      <c r="T319" s="487"/>
      <c r="U319" s="487"/>
      <c r="V319" s="487"/>
      <c r="W319" s="487"/>
      <c r="X319" s="487"/>
      <c r="Y319" s="487"/>
      <c r="Z319" s="487"/>
      <c r="AA319" s="487"/>
      <c r="AB319" s="487"/>
      <c r="AC319" s="487"/>
      <c r="AD319" s="487"/>
      <c r="AE319" s="487"/>
      <c r="AF319" s="487"/>
      <c r="AG319" s="487"/>
      <c r="AH319" s="487"/>
      <c r="AI319" s="487"/>
      <c r="AJ319" s="487"/>
      <c r="AK319" s="487"/>
      <c r="AL319" s="487"/>
      <c r="AM319" s="487"/>
      <c r="AN319" s="487"/>
      <c r="AO319" s="487"/>
      <c r="AP319" s="487"/>
      <c r="AQ319" s="487"/>
      <c r="AR319" s="487"/>
      <c r="AS319" s="487"/>
      <c r="AT319" s="487"/>
      <c r="AU319" s="487"/>
      <c r="AV319" s="487"/>
      <c r="AW319" s="487"/>
      <c r="AX319" s="487"/>
      <c r="AY319" s="487"/>
      <c r="AZ319" s="487"/>
    </row>
    <row r="320" spans="8:52" s="59" customFormat="1" ht="13.2" x14ac:dyDescent="0.25">
      <c r="H320" s="58"/>
      <c r="I320" s="101"/>
      <c r="J320" s="101"/>
      <c r="K320" s="58"/>
      <c r="L320" s="58"/>
      <c r="M320" s="105"/>
      <c r="N320" s="106"/>
      <c r="O320" s="107"/>
      <c r="P320" s="107"/>
      <c r="Q320" s="577"/>
      <c r="R320" s="1"/>
      <c r="S320" s="487"/>
      <c r="T320" s="487"/>
      <c r="U320" s="487"/>
      <c r="V320" s="487"/>
      <c r="W320" s="487"/>
      <c r="X320" s="487"/>
      <c r="Y320" s="487"/>
      <c r="Z320" s="487"/>
      <c r="AA320" s="487"/>
      <c r="AB320" s="487"/>
      <c r="AC320" s="487"/>
      <c r="AD320" s="487"/>
      <c r="AE320" s="487"/>
      <c r="AF320" s="487"/>
      <c r="AG320" s="487"/>
      <c r="AH320" s="487"/>
      <c r="AI320" s="487"/>
      <c r="AJ320" s="487"/>
      <c r="AK320" s="487"/>
      <c r="AL320" s="487"/>
      <c r="AM320" s="487"/>
      <c r="AN320" s="487"/>
      <c r="AO320" s="487"/>
      <c r="AP320" s="487"/>
      <c r="AQ320" s="487"/>
      <c r="AR320" s="487"/>
      <c r="AS320" s="487"/>
      <c r="AT320" s="487"/>
      <c r="AU320" s="487"/>
      <c r="AV320" s="487"/>
      <c r="AW320" s="487"/>
      <c r="AX320" s="487"/>
      <c r="AY320" s="487"/>
      <c r="AZ320" s="487"/>
    </row>
    <row r="321" spans="8:52" s="59" customFormat="1" ht="13.2" x14ac:dyDescent="0.25">
      <c r="H321" s="58"/>
      <c r="I321" s="101"/>
      <c r="J321" s="101"/>
      <c r="K321" s="58"/>
      <c r="L321" s="58"/>
      <c r="M321" s="105"/>
      <c r="N321" s="106"/>
      <c r="O321" s="107"/>
      <c r="P321" s="107"/>
      <c r="Q321" s="577"/>
      <c r="R321" s="1"/>
      <c r="S321" s="487"/>
      <c r="T321" s="487"/>
      <c r="U321" s="487"/>
      <c r="V321" s="487"/>
      <c r="W321" s="487"/>
      <c r="X321" s="487"/>
      <c r="Y321" s="487"/>
      <c r="Z321" s="487"/>
      <c r="AA321" s="487"/>
      <c r="AB321" s="487"/>
      <c r="AC321" s="487"/>
      <c r="AD321" s="487"/>
      <c r="AE321" s="487"/>
      <c r="AF321" s="487"/>
      <c r="AG321" s="487"/>
      <c r="AH321" s="487"/>
      <c r="AI321" s="487"/>
      <c r="AJ321" s="487"/>
      <c r="AK321" s="487"/>
      <c r="AL321" s="487"/>
      <c r="AM321" s="487"/>
      <c r="AN321" s="487"/>
      <c r="AO321" s="487"/>
      <c r="AP321" s="487"/>
      <c r="AQ321" s="487"/>
      <c r="AR321" s="487"/>
      <c r="AS321" s="487"/>
      <c r="AT321" s="487"/>
      <c r="AU321" s="487"/>
      <c r="AV321" s="487"/>
      <c r="AW321" s="487"/>
      <c r="AX321" s="487"/>
      <c r="AY321" s="487"/>
      <c r="AZ321" s="487"/>
    </row>
    <row r="322" spans="8:52" s="59" customFormat="1" ht="13.2" x14ac:dyDescent="0.25">
      <c r="H322" s="58"/>
      <c r="I322" s="101"/>
      <c r="J322" s="101"/>
      <c r="K322" s="58"/>
      <c r="L322" s="58"/>
      <c r="M322" s="105"/>
      <c r="N322" s="106"/>
      <c r="O322" s="107"/>
      <c r="P322" s="107"/>
      <c r="Q322" s="577"/>
      <c r="R322" s="1"/>
      <c r="S322" s="487"/>
      <c r="T322" s="487"/>
      <c r="U322" s="487"/>
      <c r="V322" s="487"/>
      <c r="W322" s="487"/>
      <c r="X322" s="487"/>
      <c r="Y322" s="487"/>
      <c r="Z322" s="487"/>
      <c r="AA322" s="487"/>
      <c r="AB322" s="487"/>
      <c r="AC322" s="487"/>
      <c r="AD322" s="487"/>
      <c r="AE322" s="487"/>
      <c r="AF322" s="487"/>
      <c r="AG322" s="487"/>
      <c r="AH322" s="487"/>
      <c r="AI322" s="487"/>
      <c r="AJ322" s="487"/>
      <c r="AK322" s="487"/>
      <c r="AL322" s="487"/>
      <c r="AM322" s="487"/>
      <c r="AN322" s="487"/>
      <c r="AO322" s="487"/>
      <c r="AP322" s="487"/>
      <c r="AQ322" s="487"/>
      <c r="AR322" s="487"/>
      <c r="AS322" s="487"/>
      <c r="AT322" s="487"/>
      <c r="AU322" s="487"/>
      <c r="AV322" s="487"/>
      <c r="AW322" s="487"/>
      <c r="AX322" s="487"/>
      <c r="AY322" s="487"/>
      <c r="AZ322" s="487"/>
    </row>
    <row r="323" spans="8:52" s="59" customFormat="1" ht="13.2" x14ac:dyDescent="0.25">
      <c r="H323" s="58"/>
      <c r="I323" s="101"/>
      <c r="J323" s="101"/>
      <c r="K323" s="58"/>
      <c r="L323" s="58"/>
      <c r="M323" s="105"/>
      <c r="N323" s="106"/>
      <c r="O323" s="107"/>
      <c r="P323" s="107"/>
      <c r="Q323" s="577"/>
      <c r="R323" s="1"/>
      <c r="S323" s="487"/>
      <c r="T323" s="487"/>
      <c r="U323" s="487"/>
      <c r="V323" s="487"/>
      <c r="W323" s="487"/>
      <c r="X323" s="487"/>
      <c r="Y323" s="487"/>
      <c r="Z323" s="487"/>
      <c r="AA323" s="487"/>
      <c r="AB323" s="487"/>
      <c r="AC323" s="487"/>
      <c r="AD323" s="487"/>
      <c r="AE323" s="487"/>
      <c r="AF323" s="487"/>
      <c r="AG323" s="487"/>
      <c r="AH323" s="487"/>
      <c r="AI323" s="487"/>
      <c r="AJ323" s="487"/>
      <c r="AK323" s="487"/>
      <c r="AL323" s="487"/>
      <c r="AM323" s="487"/>
      <c r="AN323" s="487"/>
      <c r="AO323" s="487"/>
      <c r="AP323" s="487"/>
      <c r="AQ323" s="487"/>
      <c r="AR323" s="487"/>
      <c r="AS323" s="487"/>
      <c r="AT323" s="487"/>
      <c r="AU323" s="487"/>
      <c r="AV323" s="487"/>
      <c r="AW323" s="487"/>
      <c r="AX323" s="487"/>
      <c r="AY323" s="487"/>
      <c r="AZ323" s="487"/>
    </row>
    <row r="324" spans="8:52" s="59" customFormat="1" ht="13.2" x14ac:dyDescent="0.25">
      <c r="H324" s="58"/>
      <c r="I324" s="101"/>
      <c r="J324" s="101"/>
      <c r="K324" s="58"/>
      <c r="L324" s="58"/>
      <c r="M324" s="105"/>
      <c r="N324" s="106"/>
      <c r="O324" s="107"/>
      <c r="P324" s="107"/>
      <c r="Q324" s="577"/>
      <c r="R324" s="1"/>
      <c r="S324" s="487"/>
      <c r="T324" s="487"/>
      <c r="U324" s="487"/>
      <c r="V324" s="487"/>
      <c r="W324" s="487"/>
      <c r="X324" s="487"/>
      <c r="Y324" s="487"/>
      <c r="Z324" s="487"/>
      <c r="AA324" s="487"/>
      <c r="AB324" s="487"/>
      <c r="AC324" s="487"/>
      <c r="AD324" s="487"/>
      <c r="AE324" s="487"/>
      <c r="AF324" s="487"/>
      <c r="AG324" s="487"/>
      <c r="AH324" s="487"/>
      <c r="AI324" s="487"/>
      <c r="AJ324" s="487"/>
      <c r="AK324" s="487"/>
      <c r="AL324" s="487"/>
      <c r="AM324" s="487"/>
      <c r="AN324" s="487"/>
      <c r="AO324" s="487"/>
      <c r="AP324" s="487"/>
      <c r="AQ324" s="487"/>
      <c r="AR324" s="487"/>
      <c r="AS324" s="487"/>
      <c r="AT324" s="487"/>
      <c r="AU324" s="487"/>
      <c r="AV324" s="487"/>
      <c r="AW324" s="487"/>
      <c r="AX324" s="487"/>
      <c r="AY324" s="487"/>
      <c r="AZ324" s="487"/>
    </row>
    <row r="325" spans="8:52" s="59" customFormat="1" ht="13.2" x14ac:dyDescent="0.25">
      <c r="H325" s="58"/>
      <c r="I325" s="101"/>
      <c r="J325" s="101"/>
      <c r="K325" s="58"/>
      <c r="L325" s="58"/>
      <c r="M325" s="105"/>
      <c r="N325" s="106"/>
      <c r="O325" s="107"/>
      <c r="P325" s="107"/>
      <c r="Q325" s="577"/>
      <c r="R325" s="1"/>
      <c r="S325" s="487"/>
      <c r="T325" s="487"/>
      <c r="U325" s="487"/>
      <c r="V325" s="487"/>
      <c r="W325" s="487"/>
      <c r="X325" s="487"/>
      <c r="Y325" s="487"/>
      <c r="Z325" s="487"/>
      <c r="AA325" s="487"/>
      <c r="AB325" s="487"/>
      <c r="AC325" s="487"/>
      <c r="AD325" s="487"/>
      <c r="AE325" s="487"/>
      <c r="AF325" s="487"/>
      <c r="AG325" s="487"/>
      <c r="AH325" s="487"/>
      <c r="AI325" s="487"/>
      <c r="AJ325" s="487"/>
      <c r="AK325" s="487"/>
      <c r="AL325" s="487"/>
      <c r="AM325" s="487"/>
      <c r="AN325" s="487"/>
      <c r="AO325" s="487"/>
      <c r="AP325" s="487"/>
      <c r="AQ325" s="487"/>
      <c r="AR325" s="487"/>
      <c r="AS325" s="487"/>
      <c r="AT325" s="487"/>
      <c r="AU325" s="487"/>
      <c r="AV325" s="487"/>
      <c r="AW325" s="487"/>
      <c r="AX325" s="487"/>
      <c r="AY325" s="487"/>
      <c r="AZ325" s="487"/>
    </row>
    <row r="326" spans="8:52" s="59" customFormat="1" ht="13.2" x14ac:dyDescent="0.25">
      <c r="H326" s="58"/>
      <c r="I326" s="101"/>
      <c r="J326" s="101"/>
      <c r="K326" s="58"/>
      <c r="L326" s="58"/>
      <c r="M326" s="105"/>
      <c r="N326" s="106"/>
      <c r="O326" s="107"/>
      <c r="P326" s="107"/>
      <c r="Q326" s="577"/>
      <c r="R326" s="1"/>
      <c r="S326" s="487"/>
      <c r="T326" s="487"/>
      <c r="U326" s="487"/>
      <c r="V326" s="487"/>
      <c r="W326" s="487"/>
      <c r="X326" s="487"/>
      <c r="Y326" s="487"/>
      <c r="Z326" s="487"/>
      <c r="AA326" s="487"/>
      <c r="AB326" s="487"/>
      <c r="AC326" s="487"/>
      <c r="AD326" s="487"/>
      <c r="AE326" s="487"/>
      <c r="AF326" s="487"/>
      <c r="AG326" s="487"/>
      <c r="AH326" s="487"/>
      <c r="AI326" s="487"/>
      <c r="AJ326" s="487"/>
      <c r="AK326" s="487"/>
      <c r="AL326" s="487"/>
      <c r="AM326" s="487"/>
      <c r="AN326" s="487"/>
      <c r="AO326" s="487"/>
      <c r="AP326" s="487"/>
      <c r="AQ326" s="487"/>
      <c r="AR326" s="487"/>
      <c r="AS326" s="487"/>
      <c r="AT326" s="487"/>
      <c r="AU326" s="487"/>
      <c r="AV326" s="487"/>
      <c r="AW326" s="487"/>
      <c r="AX326" s="487"/>
      <c r="AY326" s="487"/>
      <c r="AZ326" s="487"/>
    </row>
    <row r="327" spans="8:52" s="59" customFormat="1" ht="13.2" x14ac:dyDescent="0.25">
      <c r="H327" s="58"/>
      <c r="I327" s="101"/>
      <c r="J327" s="101"/>
      <c r="K327" s="58"/>
      <c r="L327" s="58"/>
      <c r="M327" s="105"/>
      <c r="N327" s="106"/>
      <c r="O327" s="107"/>
      <c r="P327" s="107"/>
      <c r="Q327" s="577"/>
      <c r="R327" s="1"/>
      <c r="S327" s="487"/>
      <c r="T327" s="487"/>
      <c r="U327" s="487"/>
      <c r="V327" s="487"/>
      <c r="W327" s="487"/>
      <c r="X327" s="487"/>
      <c r="Y327" s="487"/>
      <c r="Z327" s="487"/>
      <c r="AA327" s="487"/>
      <c r="AB327" s="487"/>
      <c r="AC327" s="487"/>
      <c r="AD327" s="487"/>
      <c r="AE327" s="487"/>
      <c r="AF327" s="487"/>
      <c r="AG327" s="487"/>
      <c r="AH327" s="487"/>
      <c r="AI327" s="487"/>
      <c r="AJ327" s="487"/>
      <c r="AK327" s="487"/>
      <c r="AL327" s="487"/>
      <c r="AM327" s="487"/>
      <c r="AN327" s="487"/>
      <c r="AO327" s="487"/>
      <c r="AP327" s="487"/>
      <c r="AQ327" s="487"/>
      <c r="AR327" s="487"/>
      <c r="AS327" s="487"/>
      <c r="AT327" s="487"/>
      <c r="AU327" s="487"/>
      <c r="AV327" s="487"/>
      <c r="AW327" s="487"/>
      <c r="AX327" s="487"/>
      <c r="AY327" s="487"/>
      <c r="AZ327" s="487"/>
    </row>
    <row r="328" spans="8:52" s="59" customFormat="1" ht="13.2" x14ac:dyDescent="0.25">
      <c r="H328" s="58"/>
      <c r="I328" s="101"/>
      <c r="J328" s="101"/>
      <c r="K328" s="58"/>
      <c r="L328" s="58"/>
      <c r="M328" s="105"/>
      <c r="N328" s="106"/>
      <c r="O328" s="107"/>
      <c r="P328" s="107"/>
      <c r="Q328" s="577"/>
      <c r="R328" s="1"/>
      <c r="S328" s="487"/>
      <c r="T328" s="487"/>
      <c r="U328" s="487"/>
      <c r="V328" s="487"/>
      <c r="W328" s="487"/>
      <c r="X328" s="487"/>
      <c r="Y328" s="487"/>
      <c r="Z328" s="487"/>
      <c r="AA328" s="487"/>
      <c r="AB328" s="487"/>
      <c r="AC328" s="487"/>
      <c r="AD328" s="487"/>
      <c r="AE328" s="487"/>
      <c r="AF328" s="487"/>
      <c r="AG328" s="487"/>
      <c r="AH328" s="487"/>
      <c r="AI328" s="487"/>
      <c r="AJ328" s="487"/>
      <c r="AK328" s="487"/>
      <c r="AL328" s="487"/>
      <c r="AM328" s="487"/>
      <c r="AN328" s="487"/>
      <c r="AO328" s="487"/>
      <c r="AP328" s="487"/>
      <c r="AQ328" s="487"/>
      <c r="AR328" s="487"/>
      <c r="AS328" s="487"/>
      <c r="AT328" s="487"/>
      <c r="AU328" s="487"/>
      <c r="AV328" s="487"/>
      <c r="AW328" s="487"/>
      <c r="AX328" s="487"/>
      <c r="AY328" s="487"/>
      <c r="AZ328" s="487"/>
    </row>
    <row r="329" spans="8:52" s="59" customFormat="1" ht="13.2" x14ac:dyDescent="0.25">
      <c r="H329" s="58"/>
      <c r="I329" s="101"/>
      <c r="J329" s="101"/>
      <c r="K329" s="58"/>
      <c r="L329" s="58"/>
      <c r="M329" s="105"/>
      <c r="N329" s="106"/>
      <c r="O329" s="107"/>
      <c r="P329" s="107"/>
      <c r="Q329" s="577"/>
      <c r="R329" s="1"/>
      <c r="S329" s="487"/>
      <c r="T329" s="487"/>
      <c r="U329" s="487"/>
      <c r="V329" s="487"/>
      <c r="W329" s="487"/>
      <c r="X329" s="487"/>
      <c r="Y329" s="487"/>
      <c r="Z329" s="487"/>
      <c r="AA329" s="487"/>
      <c r="AB329" s="487"/>
      <c r="AC329" s="487"/>
      <c r="AD329" s="487"/>
      <c r="AE329" s="487"/>
      <c r="AF329" s="487"/>
      <c r="AG329" s="487"/>
      <c r="AH329" s="487"/>
      <c r="AI329" s="487"/>
      <c r="AJ329" s="487"/>
      <c r="AK329" s="487"/>
      <c r="AL329" s="487"/>
      <c r="AM329" s="487"/>
      <c r="AN329" s="487"/>
      <c r="AO329" s="487"/>
      <c r="AP329" s="487"/>
      <c r="AQ329" s="487"/>
      <c r="AR329" s="487"/>
      <c r="AS329" s="487"/>
      <c r="AT329" s="487"/>
      <c r="AU329" s="487"/>
      <c r="AV329" s="487"/>
      <c r="AW329" s="487"/>
      <c r="AX329" s="487"/>
      <c r="AY329" s="487"/>
      <c r="AZ329" s="487"/>
    </row>
    <row r="330" spans="8:52" s="59" customFormat="1" ht="13.2" x14ac:dyDescent="0.25">
      <c r="H330" s="58"/>
      <c r="I330" s="101"/>
      <c r="J330" s="101"/>
      <c r="K330" s="58"/>
      <c r="L330" s="58"/>
      <c r="M330" s="105"/>
      <c r="N330" s="106"/>
      <c r="O330" s="107"/>
      <c r="P330" s="107"/>
      <c r="Q330" s="577"/>
      <c r="R330" s="1"/>
      <c r="S330" s="487"/>
      <c r="T330" s="487"/>
      <c r="U330" s="487"/>
      <c r="V330" s="487"/>
      <c r="W330" s="487"/>
      <c r="X330" s="487"/>
      <c r="Y330" s="487"/>
      <c r="Z330" s="487"/>
      <c r="AA330" s="487"/>
      <c r="AB330" s="487"/>
      <c r="AC330" s="487"/>
      <c r="AD330" s="487"/>
      <c r="AE330" s="487"/>
      <c r="AF330" s="487"/>
      <c r="AG330" s="487"/>
      <c r="AH330" s="487"/>
      <c r="AI330" s="487"/>
      <c r="AJ330" s="487"/>
      <c r="AK330" s="487"/>
      <c r="AL330" s="487"/>
      <c r="AM330" s="487"/>
      <c r="AN330" s="487"/>
      <c r="AO330" s="487"/>
      <c r="AP330" s="487"/>
      <c r="AQ330" s="487"/>
      <c r="AR330" s="487"/>
      <c r="AS330" s="487"/>
      <c r="AT330" s="487"/>
      <c r="AU330" s="487"/>
      <c r="AV330" s="487"/>
      <c r="AW330" s="487"/>
      <c r="AX330" s="487"/>
      <c r="AY330" s="487"/>
      <c r="AZ330" s="487"/>
    </row>
    <row r="331" spans="8:52" s="59" customFormat="1" ht="13.2" x14ac:dyDescent="0.25">
      <c r="H331" s="58"/>
      <c r="I331" s="101"/>
      <c r="J331" s="101"/>
      <c r="K331" s="58"/>
      <c r="L331" s="58"/>
      <c r="M331" s="105"/>
      <c r="N331" s="106"/>
      <c r="O331" s="107"/>
      <c r="P331" s="107"/>
      <c r="Q331" s="577"/>
      <c r="R331" s="1"/>
      <c r="S331" s="487"/>
      <c r="T331" s="487"/>
      <c r="U331" s="487"/>
      <c r="V331" s="487"/>
      <c r="W331" s="487"/>
      <c r="X331" s="487"/>
      <c r="Y331" s="487"/>
      <c r="Z331" s="487"/>
      <c r="AA331" s="487"/>
      <c r="AB331" s="487"/>
      <c r="AC331" s="487"/>
      <c r="AD331" s="487"/>
      <c r="AE331" s="487"/>
      <c r="AF331" s="487"/>
      <c r="AG331" s="487"/>
      <c r="AH331" s="487"/>
      <c r="AI331" s="487"/>
      <c r="AJ331" s="487"/>
      <c r="AK331" s="487"/>
      <c r="AL331" s="487"/>
      <c r="AM331" s="487"/>
      <c r="AN331" s="487"/>
      <c r="AO331" s="487"/>
      <c r="AP331" s="487"/>
      <c r="AQ331" s="487"/>
      <c r="AR331" s="487"/>
      <c r="AS331" s="487"/>
      <c r="AT331" s="487"/>
      <c r="AU331" s="487"/>
      <c r="AV331" s="487"/>
      <c r="AW331" s="487"/>
      <c r="AX331" s="487"/>
      <c r="AY331" s="487"/>
      <c r="AZ331" s="487"/>
    </row>
    <row r="332" spans="8:52" s="59" customFormat="1" ht="13.2" x14ac:dyDescent="0.25">
      <c r="H332" s="58"/>
      <c r="I332" s="101"/>
      <c r="J332" s="101"/>
      <c r="K332" s="58"/>
      <c r="L332" s="58"/>
      <c r="M332" s="105"/>
      <c r="N332" s="106"/>
      <c r="O332" s="107"/>
      <c r="P332" s="107"/>
      <c r="Q332" s="577"/>
      <c r="R332" s="1"/>
      <c r="S332" s="487"/>
      <c r="T332" s="487"/>
      <c r="U332" s="487"/>
      <c r="V332" s="487"/>
      <c r="W332" s="487"/>
      <c r="X332" s="487"/>
      <c r="Y332" s="487"/>
      <c r="Z332" s="487"/>
      <c r="AA332" s="487"/>
      <c r="AB332" s="487"/>
      <c r="AC332" s="487"/>
      <c r="AD332" s="487"/>
      <c r="AE332" s="487"/>
      <c r="AF332" s="487"/>
      <c r="AG332" s="487"/>
      <c r="AH332" s="487"/>
      <c r="AI332" s="487"/>
      <c r="AJ332" s="487"/>
      <c r="AK332" s="487"/>
      <c r="AL332" s="487"/>
      <c r="AM332" s="487"/>
      <c r="AN332" s="487"/>
      <c r="AO332" s="487"/>
      <c r="AP332" s="487"/>
      <c r="AQ332" s="487"/>
      <c r="AR332" s="487"/>
      <c r="AS332" s="487"/>
      <c r="AT332" s="487"/>
      <c r="AU332" s="487"/>
      <c r="AV332" s="487"/>
      <c r="AW332" s="487"/>
      <c r="AX332" s="487"/>
      <c r="AY332" s="487"/>
      <c r="AZ332" s="487"/>
    </row>
    <row r="333" spans="8:52" s="59" customFormat="1" ht="13.2" x14ac:dyDescent="0.25">
      <c r="H333" s="58"/>
      <c r="I333" s="101"/>
      <c r="J333" s="101"/>
      <c r="K333" s="58"/>
      <c r="L333" s="58"/>
      <c r="M333" s="105"/>
      <c r="N333" s="106"/>
      <c r="O333" s="107"/>
      <c r="P333" s="107"/>
      <c r="Q333" s="577"/>
      <c r="R333" s="1"/>
      <c r="S333" s="487"/>
      <c r="T333" s="487"/>
      <c r="U333" s="487"/>
      <c r="V333" s="487"/>
      <c r="W333" s="487"/>
      <c r="X333" s="487"/>
      <c r="Y333" s="487"/>
      <c r="Z333" s="487"/>
      <c r="AA333" s="487"/>
      <c r="AB333" s="487"/>
      <c r="AC333" s="487"/>
      <c r="AD333" s="487"/>
      <c r="AE333" s="487"/>
      <c r="AF333" s="487"/>
      <c r="AG333" s="487"/>
      <c r="AH333" s="487"/>
      <c r="AI333" s="487"/>
      <c r="AJ333" s="487"/>
      <c r="AK333" s="487"/>
      <c r="AL333" s="487"/>
      <c r="AM333" s="487"/>
      <c r="AN333" s="487"/>
      <c r="AO333" s="487"/>
      <c r="AP333" s="487"/>
      <c r="AQ333" s="487"/>
      <c r="AR333" s="487"/>
      <c r="AS333" s="487"/>
      <c r="AT333" s="487"/>
      <c r="AU333" s="487"/>
      <c r="AV333" s="487"/>
      <c r="AW333" s="487"/>
      <c r="AX333" s="487"/>
      <c r="AY333" s="487"/>
      <c r="AZ333" s="487"/>
    </row>
    <row r="334" spans="8:52" s="59" customFormat="1" ht="13.2" x14ac:dyDescent="0.25">
      <c r="H334" s="58"/>
      <c r="I334" s="101"/>
      <c r="J334" s="101"/>
      <c r="K334" s="58"/>
      <c r="L334" s="58"/>
      <c r="M334" s="105"/>
      <c r="N334" s="106"/>
      <c r="O334" s="107"/>
      <c r="P334" s="107"/>
      <c r="Q334" s="577"/>
      <c r="R334" s="1"/>
      <c r="S334" s="487"/>
      <c r="T334" s="487"/>
      <c r="U334" s="487"/>
      <c r="V334" s="487"/>
      <c r="W334" s="487"/>
      <c r="X334" s="487"/>
      <c r="Y334" s="487"/>
      <c r="Z334" s="487"/>
      <c r="AA334" s="487"/>
      <c r="AB334" s="487"/>
      <c r="AC334" s="487"/>
      <c r="AD334" s="487"/>
      <c r="AE334" s="487"/>
      <c r="AF334" s="487"/>
      <c r="AG334" s="487"/>
      <c r="AH334" s="487"/>
      <c r="AI334" s="487"/>
      <c r="AJ334" s="487"/>
      <c r="AK334" s="487"/>
      <c r="AL334" s="487"/>
      <c r="AM334" s="487"/>
      <c r="AN334" s="487"/>
      <c r="AO334" s="487"/>
      <c r="AP334" s="487"/>
      <c r="AQ334" s="487"/>
      <c r="AR334" s="487"/>
      <c r="AS334" s="487"/>
      <c r="AT334" s="487"/>
      <c r="AU334" s="487"/>
      <c r="AV334" s="487"/>
      <c r="AW334" s="487"/>
      <c r="AX334" s="487"/>
      <c r="AY334" s="487"/>
      <c r="AZ334" s="487"/>
    </row>
    <row r="335" spans="8:52" s="59" customFormat="1" ht="13.2" x14ac:dyDescent="0.25">
      <c r="H335" s="58"/>
      <c r="I335" s="101"/>
      <c r="J335" s="101"/>
      <c r="K335" s="58"/>
      <c r="L335" s="58"/>
      <c r="M335" s="105"/>
      <c r="N335" s="106"/>
      <c r="O335" s="107"/>
      <c r="P335" s="107"/>
      <c r="Q335" s="577"/>
      <c r="R335" s="1"/>
      <c r="S335" s="487"/>
      <c r="T335" s="487"/>
      <c r="U335" s="487"/>
      <c r="V335" s="487"/>
      <c r="W335" s="487"/>
      <c r="X335" s="487"/>
      <c r="Y335" s="487"/>
      <c r="Z335" s="487"/>
      <c r="AA335" s="487"/>
      <c r="AB335" s="487"/>
      <c r="AC335" s="487"/>
      <c r="AD335" s="487"/>
      <c r="AE335" s="487"/>
      <c r="AF335" s="487"/>
      <c r="AG335" s="487"/>
      <c r="AH335" s="487"/>
      <c r="AI335" s="487"/>
      <c r="AJ335" s="487"/>
      <c r="AK335" s="487"/>
      <c r="AL335" s="487"/>
      <c r="AM335" s="487"/>
      <c r="AN335" s="487"/>
      <c r="AO335" s="487"/>
      <c r="AP335" s="487"/>
      <c r="AQ335" s="487"/>
      <c r="AR335" s="487"/>
      <c r="AS335" s="487"/>
      <c r="AT335" s="487"/>
      <c r="AU335" s="487"/>
      <c r="AV335" s="487"/>
      <c r="AW335" s="487"/>
      <c r="AX335" s="487"/>
      <c r="AY335" s="487"/>
      <c r="AZ335" s="487"/>
    </row>
    <row r="336" spans="8:52" s="59" customFormat="1" ht="13.2" x14ac:dyDescent="0.25">
      <c r="H336" s="58"/>
      <c r="I336" s="101"/>
      <c r="J336" s="101"/>
      <c r="K336" s="58"/>
      <c r="L336" s="58"/>
      <c r="M336" s="105"/>
      <c r="N336" s="106"/>
      <c r="O336" s="107"/>
      <c r="P336" s="107"/>
      <c r="Q336" s="577"/>
      <c r="R336" s="1"/>
      <c r="S336" s="487"/>
      <c r="T336" s="487"/>
      <c r="U336" s="487"/>
      <c r="V336" s="487"/>
      <c r="W336" s="487"/>
      <c r="X336" s="487"/>
      <c r="Y336" s="487"/>
      <c r="Z336" s="487"/>
      <c r="AA336" s="487"/>
      <c r="AB336" s="487"/>
      <c r="AC336" s="487"/>
      <c r="AD336" s="487"/>
      <c r="AE336" s="487"/>
      <c r="AF336" s="487"/>
      <c r="AG336" s="487"/>
      <c r="AH336" s="487"/>
      <c r="AI336" s="487"/>
      <c r="AJ336" s="487"/>
      <c r="AK336" s="487"/>
      <c r="AL336" s="487"/>
      <c r="AM336" s="487"/>
      <c r="AN336" s="487"/>
      <c r="AO336" s="487"/>
      <c r="AP336" s="487"/>
      <c r="AQ336" s="487"/>
      <c r="AR336" s="487"/>
      <c r="AS336" s="487"/>
      <c r="AT336" s="487"/>
      <c r="AU336" s="487"/>
      <c r="AV336" s="487"/>
      <c r="AW336" s="487"/>
      <c r="AX336" s="487"/>
      <c r="AY336" s="487"/>
      <c r="AZ336" s="487"/>
    </row>
    <row r="337" spans="8:52" s="59" customFormat="1" ht="13.2" x14ac:dyDescent="0.25">
      <c r="H337" s="58"/>
      <c r="I337" s="101"/>
      <c r="J337" s="101"/>
      <c r="K337" s="58"/>
      <c r="L337" s="58"/>
      <c r="M337" s="105"/>
      <c r="N337" s="106"/>
      <c r="O337" s="107"/>
      <c r="P337" s="107"/>
      <c r="Q337" s="577"/>
      <c r="R337" s="1"/>
      <c r="S337" s="487"/>
      <c r="T337" s="487"/>
      <c r="U337" s="487"/>
      <c r="V337" s="487"/>
      <c r="W337" s="487"/>
      <c r="X337" s="487"/>
      <c r="Y337" s="487"/>
      <c r="Z337" s="487"/>
      <c r="AA337" s="487"/>
      <c r="AB337" s="487"/>
      <c r="AC337" s="487"/>
      <c r="AD337" s="487"/>
      <c r="AE337" s="487"/>
      <c r="AF337" s="487"/>
      <c r="AG337" s="487"/>
      <c r="AH337" s="487"/>
      <c r="AI337" s="487"/>
      <c r="AJ337" s="487"/>
      <c r="AK337" s="487"/>
      <c r="AL337" s="487"/>
      <c r="AM337" s="487"/>
      <c r="AN337" s="487"/>
      <c r="AO337" s="487"/>
      <c r="AP337" s="487"/>
      <c r="AQ337" s="487"/>
      <c r="AR337" s="487"/>
      <c r="AS337" s="487"/>
      <c r="AT337" s="487"/>
      <c r="AU337" s="487"/>
      <c r="AV337" s="487"/>
      <c r="AW337" s="487"/>
      <c r="AX337" s="487"/>
      <c r="AY337" s="487"/>
      <c r="AZ337" s="487"/>
    </row>
    <row r="338" spans="8:52" s="59" customFormat="1" ht="13.2" x14ac:dyDescent="0.25">
      <c r="H338" s="58"/>
      <c r="I338" s="101"/>
      <c r="J338" s="101"/>
      <c r="K338" s="58"/>
      <c r="L338" s="58"/>
      <c r="M338" s="105"/>
      <c r="N338" s="106"/>
      <c r="O338" s="107"/>
      <c r="P338" s="107"/>
      <c r="Q338" s="577"/>
      <c r="R338" s="1"/>
      <c r="S338" s="487"/>
      <c r="T338" s="487"/>
      <c r="U338" s="487"/>
      <c r="V338" s="487"/>
      <c r="W338" s="487"/>
      <c r="X338" s="487"/>
      <c r="Y338" s="487"/>
      <c r="Z338" s="487"/>
      <c r="AA338" s="487"/>
      <c r="AB338" s="487"/>
      <c r="AC338" s="487"/>
      <c r="AD338" s="487"/>
      <c r="AE338" s="487"/>
      <c r="AF338" s="487"/>
      <c r="AG338" s="487"/>
      <c r="AH338" s="487"/>
      <c r="AI338" s="487"/>
      <c r="AJ338" s="487"/>
      <c r="AK338" s="487"/>
      <c r="AL338" s="487"/>
      <c r="AM338" s="487"/>
      <c r="AN338" s="487"/>
      <c r="AO338" s="487"/>
      <c r="AP338" s="487"/>
      <c r="AQ338" s="487"/>
      <c r="AR338" s="487"/>
      <c r="AS338" s="487"/>
      <c r="AT338" s="487"/>
      <c r="AU338" s="487"/>
      <c r="AV338" s="487"/>
      <c r="AW338" s="487"/>
      <c r="AX338" s="487"/>
      <c r="AY338" s="487"/>
      <c r="AZ338" s="487"/>
    </row>
    <row r="339" spans="8:52" s="59" customFormat="1" ht="13.2" x14ac:dyDescent="0.25">
      <c r="H339" s="58"/>
      <c r="I339" s="101"/>
      <c r="J339" s="101"/>
      <c r="K339" s="58"/>
      <c r="L339" s="58"/>
      <c r="M339" s="105"/>
      <c r="N339" s="106"/>
      <c r="O339" s="107"/>
      <c r="P339" s="107"/>
      <c r="Q339" s="577"/>
      <c r="R339" s="1"/>
      <c r="S339" s="487"/>
      <c r="T339" s="487"/>
      <c r="U339" s="487"/>
      <c r="V339" s="487"/>
      <c r="W339" s="487"/>
      <c r="X339" s="487"/>
      <c r="Y339" s="487"/>
      <c r="Z339" s="487"/>
      <c r="AA339" s="487"/>
      <c r="AB339" s="487"/>
      <c r="AC339" s="487"/>
      <c r="AD339" s="487"/>
      <c r="AE339" s="487"/>
      <c r="AF339" s="487"/>
      <c r="AG339" s="487"/>
      <c r="AH339" s="487"/>
      <c r="AI339" s="487"/>
      <c r="AJ339" s="487"/>
      <c r="AK339" s="487"/>
      <c r="AL339" s="487"/>
      <c r="AM339" s="487"/>
      <c r="AN339" s="487"/>
      <c r="AO339" s="487"/>
      <c r="AP339" s="487"/>
      <c r="AQ339" s="487"/>
      <c r="AR339" s="487"/>
      <c r="AS339" s="487"/>
      <c r="AT339" s="487"/>
      <c r="AU339" s="487"/>
      <c r="AV339" s="487"/>
      <c r="AW339" s="487"/>
      <c r="AX339" s="487"/>
      <c r="AY339" s="487"/>
      <c r="AZ339" s="487"/>
    </row>
    <row r="340" spans="8:52" s="59" customFormat="1" ht="13.2" x14ac:dyDescent="0.25">
      <c r="H340" s="58"/>
      <c r="I340" s="101"/>
      <c r="J340" s="101"/>
      <c r="K340" s="58"/>
      <c r="L340" s="58"/>
      <c r="M340" s="105"/>
      <c r="N340" s="106"/>
      <c r="O340" s="107"/>
      <c r="P340" s="107"/>
      <c r="Q340" s="577"/>
      <c r="R340" s="1"/>
      <c r="S340" s="487"/>
      <c r="T340" s="487"/>
      <c r="U340" s="487"/>
      <c r="V340" s="487"/>
      <c r="W340" s="487"/>
      <c r="X340" s="487"/>
      <c r="Y340" s="487"/>
      <c r="Z340" s="487"/>
      <c r="AA340" s="487"/>
      <c r="AB340" s="487"/>
      <c r="AC340" s="487"/>
      <c r="AD340" s="487"/>
      <c r="AE340" s="487"/>
      <c r="AF340" s="487"/>
      <c r="AG340" s="487"/>
      <c r="AH340" s="487"/>
      <c r="AI340" s="487"/>
      <c r="AJ340" s="487"/>
      <c r="AK340" s="487"/>
      <c r="AL340" s="487"/>
      <c r="AM340" s="487"/>
      <c r="AN340" s="487"/>
      <c r="AO340" s="487"/>
      <c r="AP340" s="487"/>
      <c r="AQ340" s="487"/>
      <c r="AR340" s="487"/>
      <c r="AS340" s="487"/>
      <c r="AT340" s="487"/>
      <c r="AU340" s="487"/>
      <c r="AV340" s="487"/>
      <c r="AW340" s="487"/>
      <c r="AX340" s="487"/>
      <c r="AY340" s="487"/>
      <c r="AZ340" s="487"/>
    </row>
    <row r="341" spans="8:52" s="59" customFormat="1" ht="13.2" x14ac:dyDescent="0.25">
      <c r="H341" s="58"/>
      <c r="I341" s="101"/>
      <c r="J341" s="101"/>
      <c r="K341" s="58"/>
      <c r="L341" s="58"/>
      <c r="M341" s="105"/>
      <c r="N341" s="106"/>
      <c r="O341" s="107"/>
      <c r="P341" s="107"/>
      <c r="Q341" s="577"/>
      <c r="R341" s="1"/>
      <c r="S341" s="487"/>
      <c r="T341" s="487"/>
      <c r="U341" s="487"/>
      <c r="V341" s="487"/>
      <c r="W341" s="487"/>
      <c r="X341" s="487"/>
      <c r="Y341" s="487"/>
      <c r="Z341" s="487"/>
      <c r="AA341" s="487"/>
      <c r="AB341" s="487"/>
      <c r="AC341" s="487"/>
      <c r="AD341" s="487"/>
      <c r="AE341" s="487"/>
      <c r="AF341" s="487"/>
      <c r="AG341" s="487"/>
      <c r="AH341" s="487"/>
      <c r="AI341" s="487"/>
      <c r="AJ341" s="487"/>
      <c r="AK341" s="487"/>
      <c r="AL341" s="487"/>
      <c r="AM341" s="487"/>
      <c r="AN341" s="487"/>
      <c r="AO341" s="487"/>
      <c r="AP341" s="487"/>
      <c r="AQ341" s="487"/>
      <c r="AR341" s="487"/>
      <c r="AS341" s="487"/>
      <c r="AT341" s="487"/>
      <c r="AU341" s="487"/>
      <c r="AV341" s="487"/>
      <c r="AW341" s="487"/>
      <c r="AX341" s="487"/>
      <c r="AY341" s="487"/>
      <c r="AZ341" s="487"/>
    </row>
    <row r="342" spans="8:52" s="59" customFormat="1" ht="13.2" x14ac:dyDescent="0.25">
      <c r="H342" s="58"/>
      <c r="I342" s="101"/>
      <c r="J342" s="101"/>
      <c r="K342" s="58"/>
      <c r="L342" s="58"/>
      <c r="M342" s="105"/>
      <c r="N342" s="106"/>
      <c r="O342" s="107"/>
      <c r="P342" s="107"/>
      <c r="Q342" s="577"/>
      <c r="R342" s="1"/>
      <c r="S342" s="487"/>
      <c r="T342" s="487"/>
      <c r="U342" s="487"/>
      <c r="V342" s="487"/>
      <c r="W342" s="487"/>
      <c r="X342" s="487"/>
      <c r="Y342" s="487"/>
      <c r="Z342" s="487"/>
      <c r="AA342" s="487"/>
      <c r="AB342" s="487"/>
      <c r="AC342" s="487"/>
      <c r="AD342" s="487"/>
      <c r="AE342" s="487"/>
      <c r="AF342" s="487"/>
      <c r="AG342" s="487"/>
      <c r="AH342" s="487"/>
      <c r="AI342" s="487"/>
      <c r="AJ342" s="487"/>
      <c r="AK342" s="487"/>
      <c r="AL342" s="487"/>
      <c r="AM342" s="487"/>
      <c r="AN342" s="487"/>
      <c r="AO342" s="487"/>
      <c r="AP342" s="487"/>
      <c r="AQ342" s="487"/>
      <c r="AR342" s="487"/>
      <c r="AS342" s="487"/>
      <c r="AT342" s="487"/>
      <c r="AU342" s="487"/>
      <c r="AV342" s="487"/>
      <c r="AW342" s="487"/>
      <c r="AX342" s="487"/>
      <c r="AY342" s="487"/>
      <c r="AZ342" s="487"/>
    </row>
    <row r="343" spans="8:52" s="59" customFormat="1" ht="13.2" x14ac:dyDescent="0.25">
      <c r="H343" s="58"/>
      <c r="I343" s="101"/>
      <c r="J343" s="101"/>
      <c r="K343" s="58"/>
      <c r="L343" s="58"/>
      <c r="M343" s="105"/>
      <c r="N343" s="106"/>
      <c r="O343" s="107"/>
      <c r="P343" s="107"/>
      <c r="Q343" s="577"/>
      <c r="R343" s="1"/>
      <c r="S343" s="487"/>
      <c r="T343" s="487"/>
      <c r="U343" s="487"/>
      <c r="V343" s="487"/>
      <c r="W343" s="487"/>
      <c r="X343" s="487"/>
      <c r="Y343" s="487"/>
      <c r="Z343" s="487"/>
      <c r="AA343" s="487"/>
      <c r="AB343" s="487"/>
      <c r="AC343" s="487"/>
      <c r="AD343" s="487"/>
      <c r="AE343" s="487"/>
      <c r="AF343" s="487"/>
      <c r="AG343" s="487"/>
      <c r="AH343" s="487"/>
      <c r="AI343" s="487"/>
      <c r="AJ343" s="487"/>
      <c r="AK343" s="487"/>
      <c r="AL343" s="487"/>
      <c r="AM343" s="487"/>
      <c r="AN343" s="487"/>
      <c r="AO343" s="487"/>
      <c r="AP343" s="487"/>
      <c r="AQ343" s="487"/>
      <c r="AR343" s="487"/>
      <c r="AS343" s="487"/>
      <c r="AT343" s="487"/>
      <c r="AU343" s="487"/>
      <c r="AV343" s="487"/>
      <c r="AW343" s="487"/>
      <c r="AX343" s="487"/>
      <c r="AY343" s="487"/>
      <c r="AZ343" s="487"/>
    </row>
    <row r="344" spans="8:52" s="59" customFormat="1" ht="13.2" x14ac:dyDescent="0.25">
      <c r="H344" s="58"/>
      <c r="I344" s="101"/>
      <c r="J344" s="101"/>
      <c r="K344" s="58"/>
      <c r="L344" s="58"/>
      <c r="M344" s="105"/>
      <c r="N344" s="106"/>
      <c r="O344" s="107"/>
      <c r="P344" s="107"/>
      <c r="Q344" s="577"/>
      <c r="R344" s="1"/>
      <c r="S344" s="487"/>
      <c r="T344" s="487"/>
      <c r="U344" s="487"/>
      <c r="V344" s="487"/>
      <c r="W344" s="487"/>
      <c r="X344" s="487"/>
      <c r="Y344" s="487"/>
      <c r="Z344" s="487"/>
      <c r="AA344" s="487"/>
      <c r="AB344" s="487"/>
      <c r="AC344" s="487"/>
      <c r="AD344" s="487"/>
      <c r="AE344" s="487"/>
      <c r="AF344" s="487"/>
      <c r="AG344" s="487"/>
      <c r="AH344" s="487"/>
      <c r="AI344" s="487"/>
      <c r="AJ344" s="487"/>
      <c r="AK344" s="487"/>
      <c r="AL344" s="487"/>
      <c r="AM344" s="487"/>
      <c r="AN344" s="487"/>
      <c r="AO344" s="487"/>
      <c r="AP344" s="487"/>
      <c r="AQ344" s="487"/>
      <c r="AR344" s="487"/>
      <c r="AS344" s="487"/>
      <c r="AT344" s="487"/>
      <c r="AU344" s="487"/>
      <c r="AV344" s="487"/>
      <c r="AW344" s="487"/>
      <c r="AX344" s="487"/>
      <c r="AY344" s="487"/>
      <c r="AZ344" s="487"/>
    </row>
    <row r="345" spans="8:52" s="59" customFormat="1" ht="13.2" x14ac:dyDescent="0.25">
      <c r="H345" s="58"/>
      <c r="I345" s="101"/>
      <c r="J345" s="101"/>
      <c r="K345" s="58"/>
      <c r="L345" s="58"/>
      <c r="M345" s="105"/>
      <c r="N345" s="106"/>
      <c r="O345" s="107"/>
      <c r="P345" s="107"/>
      <c r="Q345" s="577"/>
      <c r="R345" s="1"/>
      <c r="S345" s="487"/>
      <c r="T345" s="487"/>
      <c r="U345" s="487"/>
      <c r="V345" s="487"/>
      <c r="W345" s="487"/>
      <c r="X345" s="487"/>
      <c r="Y345" s="487"/>
      <c r="Z345" s="487"/>
      <c r="AA345" s="487"/>
      <c r="AB345" s="487"/>
      <c r="AC345" s="487"/>
      <c r="AD345" s="487"/>
      <c r="AE345" s="487"/>
      <c r="AF345" s="487"/>
      <c r="AG345" s="487"/>
      <c r="AH345" s="487"/>
      <c r="AI345" s="487"/>
      <c r="AJ345" s="487"/>
      <c r="AK345" s="487"/>
      <c r="AL345" s="487"/>
      <c r="AM345" s="487"/>
      <c r="AN345" s="487"/>
      <c r="AO345" s="487"/>
      <c r="AP345" s="487"/>
      <c r="AQ345" s="487"/>
      <c r="AR345" s="487"/>
      <c r="AS345" s="487"/>
      <c r="AT345" s="487"/>
      <c r="AU345" s="487"/>
      <c r="AV345" s="487"/>
      <c r="AW345" s="487"/>
      <c r="AX345" s="487"/>
      <c r="AY345" s="487"/>
      <c r="AZ345" s="487"/>
    </row>
    <row r="346" spans="8:52" s="59" customFormat="1" ht="13.2" x14ac:dyDescent="0.25">
      <c r="H346" s="58"/>
      <c r="I346" s="101"/>
      <c r="J346" s="101"/>
      <c r="K346" s="58"/>
      <c r="L346" s="58"/>
      <c r="M346" s="105"/>
      <c r="N346" s="106"/>
      <c r="O346" s="107"/>
      <c r="P346" s="107"/>
      <c r="Q346" s="577"/>
      <c r="R346" s="1"/>
      <c r="S346" s="487"/>
      <c r="T346" s="487"/>
      <c r="U346" s="487"/>
      <c r="V346" s="487"/>
      <c r="W346" s="487"/>
      <c r="X346" s="487"/>
      <c r="Y346" s="487"/>
      <c r="Z346" s="487"/>
      <c r="AA346" s="487"/>
      <c r="AB346" s="487"/>
      <c r="AC346" s="487"/>
      <c r="AD346" s="487"/>
      <c r="AE346" s="487"/>
      <c r="AF346" s="487"/>
      <c r="AG346" s="487"/>
      <c r="AH346" s="487"/>
      <c r="AI346" s="487"/>
      <c r="AJ346" s="487"/>
      <c r="AK346" s="487"/>
      <c r="AL346" s="487"/>
      <c r="AM346" s="487"/>
      <c r="AN346" s="487"/>
      <c r="AO346" s="487"/>
      <c r="AP346" s="487"/>
      <c r="AQ346" s="487"/>
      <c r="AR346" s="487"/>
      <c r="AS346" s="487"/>
      <c r="AT346" s="487"/>
      <c r="AU346" s="487"/>
      <c r="AV346" s="487"/>
      <c r="AW346" s="487"/>
      <c r="AX346" s="487"/>
      <c r="AY346" s="487"/>
      <c r="AZ346" s="487"/>
    </row>
    <row r="347" spans="8:52" s="59" customFormat="1" ht="13.2" x14ac:dyDescent="0.25">
      <c r="H347" s="58"/>
      <c r="I347" s="101"/>
      <c r="J347" s="101"/>
      <c r="K347" s="58"/>
      <c r="L347" s="58"/>
      <c r="M347" s="105"/>
      <c r="N347" s="106"/>
      <c r="O347" s="107"/>
      <c r="P347" s="107"/>
      <c r="Q347" s="577"/>
      <c r="R347" s="1"/>
      <c r="S347" s="487"/>
      <c r="T347" s="487"/>
      <c r="U347" s="487"/>
      <c r="V347" s="487"/>
      <c r="W347" s="487"/>
      <c r="X347" s="487"/>
      <c r="Y347" s="487"/>
      <c r="Z347" s="487"/>
      <c r="AA347" s="487"/>
      <c r="AB347" s="487"/>
      <c r="AC347" s="487"/>
      <c r="AD347" s="487"/>
      <c r="AE347" s="487"/>
      <c r="AF347" s="487"/>
      <c r="AG347" s="487"/>
      <c r="AH347" s="487"/>
      <c r="AI347" s="487"/>
      <c r="AJ347" s="487"/>
      <c r="AK347" s="487"/>
      <c r="AL347" s="487"/>
      <c r="AM347" s="487"/>
      <c r="AN347" s="487"/>
      <c r="AO347" s="487"/>
      <c r="AP347" s="487"/>
      <c r="AQ347" s="487"/>
      <c r="AR347" s="487"/>
      <c r="AS347" s="487"/>
      <c r="AT347" s="487"/>
      <c r="AU347" s="487"/>
      <c r="AV347" s="487"/>
      <c r="AW347" s="487"/>
      <c r="AX347" s="487"/>
      <c r="AY347" s="487"/>
      <c r="AZ347" s="487"/>
    </row>
    <row r="348" spans="8:52" s="59" customFormat="1" ht="13.2" x14ac:dyDescent="0.25">
      <c r="H348" s="58"/>
      <c r="I348" s="101"/>
      <c r="J348" s="101"/>
      <c r="K348" s="58"/>
      <c r="L348" s="58"/>
      <c r="M348" s="105"/>
      <c r="N348" s="106"/>
      <c r="O348" s="107"/>
      <c r="P348" s="107"/>
      <c r="Q348" s="577"/>
      <c r="R348" s="1"/>
      <c r="S348" s="487"/>
      <c r="T348" s="487"/>
      <c r="U348" s="487"/>
      <c r="V348" s="487"/>
      <c r="W348" s="487"/>
      <c r="X348" s="487"/>
      <c r="Y348" s="487"/>
      <c r="Z348" s="487"/>
      <c r="AA348" s="487"/>
      <c r="AB348" s="487"/>
      <c r="AC348" s="487"/>
      <c r="AD348" s="487"/>
      <c r="AE348" s="487"/>
      <c r="AF348" s="487"/>
      <c r="AG348" s="487"/>
      <c r="AH348" s="487"/>
      <c r="AI348" s="487"/>
      <c r="AJ348" s="487"/>
      <c r="AK348" s="487"/>
      <c r="AL348" s="487"/>
      <c r="AM348" s="487"/>
      <c r="AN348" s="487"/>
      <c r="AO348" s="487"/>
      <c r="AP348" s="487"/>
      <c r="AQ348" s="487"/>
      <c r="AR348" s="487"/>
      <c r="AS348" s="487"/>
      <c r="AT348" s="487"/>
      <c r="AU348" s="487"/>
      <c r="AV348" s="487"/>
      <c r="AW348" s="487"/>
      <c r="AX348" s="487"/>
      <c r="AY348" s="487"/>
      <c r="AZ348" s="487"/>
    </row>
    <row r="349" spans="8:52" s="59" customFormat="1" ht="13.2" x14ac:dyDescent="0.25">
      <c r="H349" s="58"/>
      <c r="I349" s="101"/>
      <c r="J349" s="101"/>
      <c r="K349" s="58"/>
      <c r="L349" s="58"/>
      <c r="M349" s="105"/>
      <c r="N349" s="106"/>
      <c r="O349" s="107"/>
      <c r="P349" s="107"/>
      <c r="Q349" s="577"/>
      <c r="R349" s="1"/>
      <c r="S349" s="487"/>
      <c r="T349" s="487"/>
      <c r="U349" s="487"/>
      <c r="V349" s="487"/>
      <c r="W349" s="487"/>
      <c r="X349" s="487"/>
      <c r="Y349" s="487"/>
      <c r="Z349" s="487"/>
      <c r="AA349" s="487"/>
      <c r="AB349" s="487"/>
      <c r="AC349" s="487"/>
      <c r="AD349" s="487"/>
      <c r="AE349" s="487"/>
      <c r="AF349" s="487"/>
      <c r="AG349" s="487"/>
      <c r="AH349" s="487"/>
      <c r="AI349" s="487"/>
      <c r="AJ349" s="487"/>
      <c r="AK349" s="487"/>
      <c r="AL349" s="487"/>
      <c r="AM349" s="487"/>
      <c r="AN349" s="487"/>
      <c r="AO349" s="487"/>
      <c r="AP349" s="487"/>
      <c r="AQ349" s="487"/>
      <c r="AR349" s="487"/>
      <c r="AS349" s="487"/>
      <c r="AT349" s="487"/>
      <c r="AU349" s="487"/>
      <c r="AV349" s="487"/>
      <c r="AW349" s="487"/>
      <c r="AX349" s="487"/>
      <c r="AY349" s="487"/>
      <c r="AZ349" s="487"/>
    </row>
    <row r="350" spans="8:52" s="59" customFormat="1" ht="13.2" x14ac:dyDescent="0.25">
      <c r="H350" s="58"/>
      <c r="I350" s="101"/>
      <c r="J350" s="101"/>
      <c r="K350" s="58"/>
      <c r="L350" s="58"/>
      <c r="M350" s="105"/>
      <c r="N350" s="106"/>
      <c r="O350" s="107"/>
      <c r="P350" s="107"/>
      <c r="Q350" s="577"/>
      <c r="R350" s="1"/>
      <c r="S350" s="487"/>
      <c r="T350" s="487"/>
      <c r="U350" s="487"/>
      <c r="V350" s="487"/>
      <c r="W350" s="487"/>
      <c r="X350" s="487"/>
      <c r="Y350" s="487"/>
      <c r="Z350" s="487"/>
      <c r="AA350" s="487"/>
      <c r="AB350" s="487"/>
      <c r="AC350" s="487"/>
      <c r="AD350" s="487"/>
      <c r="AE350" s="487"/>
      <c r="AF350" s="487"/>
      <c r="AG350" s="487"/>
      <c r="AH350" s="487"/>
      <c r="AI350" s="487"/>
      <c r="AJ350" s="487"/>
      <c r="AK350" s="487"/>
      <c r="AL350" s="487"/>
      <c r="AM350" s="487"/>
      <c r="AN350" s="487"/>
      <c r="AO350" s="487"/>
      <c r="AP350" s="487"/>
      <c r="AQ350" s="487"/>
      <c r="AR350" s="487"/>
      <c r="AS350" s="487"/>
      <c r="AT350" s="487"/>
      <c r="AU350" s="487"/>
      <c r="AV350" s="487"/>
      <c r="AW350" s="487"/>
      <c r="AX350" s="487"/>
      <c r="AY350" s="487"/>
      <c r="AZ350" s="487"/>
    </row>
    <row r="351" spans="8:52" s="59" customFormat="1" ht="13.2" x14ac:dyDescent="0.25">
      <c r="H351" s="58"/>
      <c r="I351" s="101"/>
      <c r="J351" s="101"/>
      <c r="K351" s="58"/>
      <c r="L351" s="58"/>
      <c r="M351" s="105"/>
      <c r="N351" s="106"/>
      <c r="O351" s="107"/>
      <c r="P351" s="107"/>
      <c r="Q351" s="577"/>
      <c r="R351" s="1"/>
      <c r="S351" s="487"/>
      <c r="T351" s="487"/>
      <c r="U351" s="487"/>
      <c r="V351" s="487"/>
      <c r="W351" s="487"/>
      <c r="X351" s="487"/>
      <c r="Y351" s="487"/>
      <c r="Z351" s="487"/>
      <c r="AA351" s="487"/>
      <c r="AB351" s="487"/>
      <c r="AC351" s="487"/>
      <c r="AD351" s="487"/>
      <c r="AE351" s="487"/>
      <c r="AF351" s="487"/>
      <c r="AG351" s="487"/>
      <c r="AH351" s="487"/>
      <c r="AI351" s="487"/>
      <c r="AJ351" s="487"/>
      <c r="AK351" s="487"/>
      <c r="AL351" s="487"/>
      <c r="AM351" s="487"/>
      <c r="AN351" s="487"/>
      <c r="AO351" s="487"/>
      <c r="AP351" s="487"/>
      <c r="AQ351" s="487"/>
      <c r="AR351" s="487"/>
      <c r="AS351" s="487"/>
      <c r="AT351" s="487"/>
      <c r="AU351" s="487"/>
      <c r="AV351" s="487"/>
      <c r="AW351" s="487"/>
      <c r="AX351" s="487"/>
      <c r="AY351" s="487"/>
      <c r="AZ351" s="487"/>
    </row>
    <row r="352" spans="8:52" s="59" customFormat="1" ht="13.2" x14ac:dyDescent="0.25">
      <c r="H352" s="58"/>
      <c r="I352" s="101"/>
      <c r="J352" s="101"/>
      <c r="K352" s="58"/>
      <c r="L352" s="58"/>
      <c r="M352" s="105"/>
      <c r="N352" s="106"/>
      <c r="O352" s="107"/>
      <c r="P352" s="107"/>
      <c r="Q352" s="577"/>
      <c r="R352" s="1"/>
      <c r="S352" s="487"/>
      <c r="T352" s="487"/>
      <c r="U352" s="487"/>
      <c r="V352" s="487"/>
      <c r="W352" s="487"/>
      <c r="X352" s="487"/>
      <c r="Y352" s="487"/>
      <c r="Z352" s="487"/>
      <c r="AA352" s="487"/>
      <c r="AB352" s="487"/>
      <c r="AC352" s="487"/>
      <c r="AD352" s="487"/>
      <c r="AE352" s="487"/>
      <c r="AF352" s="487"/>
      <c r="AG352" s="487"/>
      <c r="AH352" s="487"/>
      <c r="AI352" s="487"/>
      <c r="AJ352" s="487"/>
      <c r="AK352" s="487"/>
      <c r="AL352" s="487"/>
      <c r="AM352" s="487"/>
      <c r="AN352" s="487"/>
      <c r="AO352" s="487"/>
      <c r="AP352" s="487"/>
      <c r="AQ352" s="487"/>
      <c r="AR352" s="487"/>
      <c r="AS352" s="487"/>
      <c r="AT352" s="487"/>
      <c r="AU352" s="487"/>
      <c r="AV352" s="487"/>
      <c r="AW352" s="487"/>
      <c r="AX352" s="487"/>
      <c r="AY352" s="487"/>
      <c r="AZ352" s="487"/>
    </row>
    <row r="353" spans="5:52" s="59" customFormat="1" ht="13.2" x14ac:dyDescent="0.25">
      <c r="H353" s="58"/>
      <c r="I353" s="101"/>
      <c r="J353" s="101"/>
      <c r="K353" s="58"/>
      <c r="L353" s="58"/>
      <c r="M353" s="105"/>
      <c r="N353" s="106"/>
      <c r="O353" s="107"/>
      <c r="P353" s="107"/>
      <c r="Q353" s="577"/>
      <c r="R353" s="1"/>
      <c r="S353" s="487"/>
      <c r="T353" s="487"/>
      <c r="U353" s="487"/>
      <c r="V353" s="487"/>
      <c r="W353" s="487"/>
      <c r="X353" s="487"/>
      <c r="Y353" s="487"/>
      <c r="Z353" s="487"/>
      <c r="AA353" s="487"/>
      <c r="AB353" s="487"/>
      <c r="AC353" s="487"/>
      <c r="AD353" s="487"/>
      <c r="AE353" s="487"/>
      <c r="AF353" s="487"/>
      <c r="AG353" s="487"/>
      <c r="AH353" s="487"/>
      <c r="AI353" s="487"/>
      <c r="AJ353" s="487"/>
      <c r="AK353" s="487"/>
      <c r="AL353" s="487"/>
      <c r="AM353" s="487"/>
      <c r="AN353" s="487"/>
      <c r="AO353" s="487"/>
      <c r="AP353" s="487"/>
      <c r="AQ353" s="487"/>
      <c r="AR353" s="487"/>
      <c r="AS353" s="487"/>
      <c r="AT353" s="487"/>
      <c r="AU353" s="487"/>
      <c r="AV353" s="487"/>
      <c r="AW353" s="487"/>
      <c r="AX353" s="487"/>
      <c r="AY353" s="487"/>
      <c r="AZ353" s="487"/>
    </row>
    <row r="354" spans="5:52" s="59" customFormat="1" x14ac:dyDescent="0.2">
      <c r="H354" s="58"/>
      <c r="I354" s="101"/>
      <c r="J354" s="101"/>
      <c r="K354" s="58"/>
      <c r="L354" s="58"/>
      <c r="M354" s="105"/>
      <c r="N354" s="106"/>
      <c r="O354" s="107"/>
      <c r="P354" s="107"/>
      <c r="Q354" s="577"/>
      <c r="R354" s="52"/>
    </row>
    <row r="355" spans="5:52" s="59" customFormat="1" x14ac:dyDescent="0.2">
      <c r="H355" s="58"/>
      <c r="I355" s="101"/>
      <c r="J355" s="101"/>
      <c r="K355" s="58"/>
      <c r="L355" s="58"/>
      <c r="M355" s="105"/>
      <c r="N355" s="106"/>
      <c r="O355" s="107"/>
      <c r="P355" s="107"/>
      <c r="Q355" s="577"/>
      <c r="R355" s="52"/>
    </row>
    <row r="356" spans="5:52" s="59" customFormat="1" x14ac:dyDescent="0.2">
      <c r="H356" s="58"/>
      <c r="I356" s="101"/>
      <c r="J356" s="101"/>
      <c r="K356" s="58"/>
      <c r="L356" s="58"/>
      <c r="M356" s="105"/>
      <c r="N356" s="106"/>
      <c r="O356" s="107"/>
      <c r="P356" s="107"/>
      <c r="Q356" s="577"/>
      <c r="R356" s="52"/>
    </row>
    <row r="357" spans="5:52" s="59" customFormat="1" x14ac:dyDescent="0.2">
      <c r="H357" s="58"/>
      <c r="I357" s="101"/>
      <c r="J357" s="101"/>
      <c r="K357" s="58"/>
      <c r="L357" s="58"/>
      <c r="M357" s="105"/>
      <c r="N357" s="106"/>
      <c r="O357" s="107"/>
      <c r="P357" s="107"/>
      <c r="Q357" s="577"/>
      <c r="R357" s="52"/>
    </row>
    <row r="358" spans="5:52" s="59" customFormat="1" x14ac:dyDescent="0.2">
      <c r="H358" s="58"/>
      <c r="I358" s="101"/>
      <c r="J358" s="101"/>
      <c r="K358" s="58"/>
      <c r="L358" s="58"/>
      <c r="M358" s="105"/>
      <c r="N358" s="106"/>
      <c r="O358" s="107"/>
      <c r="P358" s="107"/>
      <c r="Q358" s="577"/>
      <c r="R358" s="52"/>
    </row>
    <row r="359" spans="5:52" s="59" customFormat="1" x14ac:dyDescent="0.2">
      <c r="H359" s="58"/>
      <c r="I359" s="101"/>
      <c r="J359" s="101"/>
      <c r="K359" s="58"/>
      <c r="L359" s="58"/>
      <c r="M359" s="105"/>
      <c r="N359" s="106"/>
      <c r="O359" s="107"/>
      <c r="P359" s="107"/>
      <c r="Q359" s="577"/>
      <c r="R359" s="52"/>
    </row>
    <row r="360" spans="5:52" s="59" customFormat="1" x14ac:dyDescent="0.2">
      <c r="H360" s="58"/>
      <c r="I360" s="101"/>
      <c r="J360" s="101"/>
      <c r="K360" s="58"/>
      <c r="L360" s="58"/>
      <c r="M360" s="105"/>
      <c r="N360" s="106"/>
      <c r="O360" s="107"/>
      <c r="P360" s="107"/>
      <c r="Q360" s="577"/>
      <c r="R360" s="52"/>
    </row>
    <row r="361" spans="5:52" s="59" customFormat="1" x14ac:dyDescent="0.2">
      <c r="H361" s="58"/>
      <c r="I361" s="101"/>
      <c r="J361" s="101"/>
      <c r="K361" s="58"/>
      <c r="L361" s="58"/>
      <c r="M361" s="105"/>
      <c r="N361" s="106"/>
      <c r="O361" s="107"/>
      <c r="P361" s="107"/>
      <c r="Q361" s="577"/>
      <c r="R361" s="52"/>
    </row>
    <row r="362" spans="5:52" s="59" customFormat="1" x14ac:dyDescent="0.2">
      <c r="H362" s="58"/>
      <c r="I362" s="101"/>
      <c r="J362" s="101"/>
      <c r="K362" s="58"/>
      <c r="L362" s="58"/>
      <c r="M362" s="105"/>
      <c r="N362" s="106"/>
      <c r="O362" s="107"/>
      <c r="P362" s="107"/>
      <c r="Q362" s="577"/>
      <c r="R362" s="52"/>
    </row>
    <row r="363" spans="5:52" s="59" customFormat="1" x14ac:dyDescent="0.2">
      <c r="H363" s="58"/>
      <c r="I363" s="101"/>
      <c r="J363" s="101"/>
      <c r="K363" s="58"/>
      <c r="L363" s="58"/>
      <c r="M363" s="105"/>
      <c r="N363" s="106"/>
      <c r="O363" s="107"/>
      <c r="P363" s="107"/>
      <c r="Q363" s="577"/>
      <c r="R363" s="52"/>
    </row>
    <row r="364" spans="5:52" s="59" customFormat="1" x14ac:dyDescent="0.2">
      <c r="H364" s="58"/>
      <c r="I364" s="101"/>
      <c r="J364" s="101"/>
      <c r="K364" s="58"/>
      <c r="L364" s="58"/>
      <c r="M364" s="105"/>
      <c r="N364" s="106"/>
      <c r="O364" s="107"/>
      <c r="P364" s="107"/>
      <c r="Q364" s="577"/>
      <c r="R364" s="52"/>
    </row>
    <row r="365" spans="5:52" x14ac:dyDescent="0.2">
      <c r="E365" s="59"/>
      <c r="F365" s="59"/>
    </row>
    <row r="366" spans="5:52" x14ac:dyDescent="0.2">
      <c r="E366" s="59"/>
      <c r="F366" s="59"/>
    </row>
  </sheetData>
  <sheetProtection selectLockedCells="1"/>
  <autoFilter ref="A7:P252" xr:uid="{00000000-0009-0000-0000-00001C000000}"/>
  <mergeCells count="3">
    <mergeCell ref="A1:P1"/>
    <mergeCell ref="S5:AZ5"/>
    <mergeCell ref="E3:K4"/>
  </mergeCells>
  <phoneticPr fontId="50" type="noConversion"/>
  <conditionalFormatting sqref="S7:AW7">
    <cfRule type="cellIs" dxfId="5" priority="5" stopIfTrue="1" operator="equal">
      <formula>"Samstag"</formula>
    </cfRule>
    <cfRule type="cellIs" dxfId="4" priority="6" stopIfTrue="1" operator="equal">
      <formula>"Sonntag"</formula>
    </cfRule>
  </conditionalFormatting>
  <conditionalFormatting sqref="S8:AW251">
    <cfRule type="cellIs" dxfId="3" priority="1" operator="greaterThan">
      <formula>0</formula>
    </cfRule>
  </conditionalFormatting>
  <printOptions horizontalCentered="1"/>
  <pageMargins left="0.19685039370078741" right="0.19685039370078741" top="0.78740157480314965" bottom="0.78740157480314965" header="0.51181102362204722" footer="0.51181102362204722"/>
  <pageSetup paperSize="8" scale="88" fitToHeight="0" orientation="landscape" r:id="rId1"/>
  <headerFooter alignWithMargins="0">
    <oddHeader>&amp;CAusschreibung Reinigung Gemeinde Oberhaching 2026</oddHeader>
    <oddFooter>&amp;CSeite &amp;P von &amp;N Seiten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795F9-FA55-42D4-A384-CE877B48F306}">
  <sheetPr>
    <tabColor theme="7" tint="0.59999389629810485"/>
    <pageSetUpPr fitToPage="1"/>
  </sheetPr>
  <dimension ref="A1:R371"/>
  <sheetViews>
    <sheetView zoomScale="80" zoomScaleNormal="80" zoomScaleSheetLayoutView="70" zoomScalePageLayoutView="70" workbookViewId="0">
      <selection activeCell="E2" sqref="E2"/>
    </sheetView>
  </sheetViews>
  <sheetFormatPr baseColWidth="10" defaultColWidth="11.44140625" defaultRowHeight="12.6" x14ac:dyDescent="0.2"/>
  <cols>
    <col min="1" max="1" width="16" style="52" customWidth="1"/>
    <col min="2" max="2" width="13" style="59" customWidth="1"/>
    <col min="3" max="3" width="9.33203125" style="59" customWidth="1"/>
    <col min="4" max="4" width="27.6640625" style="59" customWidth="1"/>
    <col min="5" max="5" width="18.109375" style="52" customWidth="1"/>
    <col min="6" max="6" width="13.5546875" style="52" customWidth="1"/>
    <col min="7" max="7" width="13.44140625" style="52" customWidth="1"/>
    <col min="8" max="8" width="14.88671875" style="59" customWidth="1"/>
    <col min="9" max="9" width="10.21875" style="58" customWidth="1"/>
    <col min="10" max="10" width="10.44140625" style="101" customWidth="1"/>
    <col min="11" max="11" width="16.5546875" style="101" customWidth="1"/>
    <col min="12" max="12" width="14" style="58" customWidth="1"/>
    <col min="13" max="13" width="13.109375" style="58" customWidth="1"/>
    <col min="14" max="14" width="14.6640625" style="105" customWidth="1"/>
    <col min="15" max="15" width="12.88671875" style="106" customWidth="1"/>
    <col min="16" max="16" width="16.109375" style="107" customWidth="1"/>
    <col min="17" max="17" width="19.109375" style="107" customWidth="1"/>
    <col min="18" max="18" width="2.88671875" style="52" customWidth="1"/>
    <col min="19" max="16384" width="11.44140625" style="52"/>
  </cols>
  <sheetData>
    <row r="1" spans="1:18" ht="30" customHeight="1" x14ac:dyDescent="0.2">
      <c r="A1" s="651" t="s">
        <v>837</v>
      </c>
      <c r="B1" s="651"/>
      <c r="C1" s="651"/>
      <c r="D1" s="651"/>
      <c r="E1" s="651"/>
      <c r="F1" s="651"/>
      <c r="G1" s="651"/>
      <c r="H1" s="651"/>
      <c r="I1" s="651"/>
      <c r="J1" s="651"/>
      <c r="K1" s="651"/>
      <c r="L1" s="651"/>
      <c r="M1" s="651"/>
      <c r="N1" s="651"/>
      <c r="O1" s="651"/>
      <c r="P1" s="651"/>
      <c r="Q1" s="651"/>
      <c r="R1" s="51"/>
    </row>
    <row r="2" spans="1:18" s="53" customFormat="1" ht="30.6" customHeight="1" x14ac:dyDescent="0.3">
      <c r="A2" s="82" t="s">
        <v>2</v>
      </c>
      <c r="B2" s="83" t="str">
        <f>Basisdaten!B5</f>
        <v>Gemeinde Oberhaching</v>
      </c>
      <c r="C2" s="83"/>
      <c r="D2" s="85"/>
      <c r="I2" s="86" t="s">
        <v>3</v>
      </c>
      <c r="J2" s="654">
        <f>Basisdaten!E5</f>
        <v>0</v>
      </c>
      <c r="K2" s="654"/>
      <c r="L2" s="654"/>
      <c r="M2" s="654"/>
      <c r="N2" s="654"/>
      <c r="O2" s="654"/>
      <c r="P2" s="86" t="s">
        <v>1</v>
      </c>
      <c r="Q2" s="327">
        <f>Basisdaten!E3</f>
        <v>0</v>
      </c>
    </row>
    <row r="3" spans="1:18" s="53" customFormat="1" ht="27" customHeight="1" x14ac:dyDescent="0.3">
      <c r="A3" s="85" t="s">
        <v>4</v>
      </c>
      <c r="B3" s="83" t="s">
        <v>833</v>
      </c>
      <c r="C3" s="83"/>
      <c r="D3" s="595"/>
      <c r="E3" s="655" t="s">
        <v>990</v>
      </c>
      <c r="F3" s="655"/>
      <c r="G3" s="655"/>
      <c r="H3" s="655"/>
      <c r="I3" s="655"/>
      <c r="J3" s="655"/>
      <c r="K3" s="655"/>
      <c r="L3" s="655"/>
      <c r="M3" s="594"/>
      <c r="N3" s="410" t="s">
        <v>358</v>
      </c>
      <c r="O3" s="411">
        <f>'SVS GR'!F77</f>
        <v>0</v>
      </c>
      <c r="P3" s="92"/>
      <c r="Q3" s="93"/>
    </row>
    <row r="4" spans="1:18" s="53" customFormat="1" ht="12.45" customHeight="1" x14ac:dyDescent="0.3">
      <c r="D4" s="85"/>
      <c r="E4" s="655"/>
      <c r="F4" s="655"/>
      <c r="G4" s="655"/>
      <c r="H4" s="655"/>
      <c r="I4" s="655"/>
      <c r="J4" s="655"/>
      <c r="K4" s="655"/>
      <c r="L4" s="655"/>
      <c r="N4" s="593"/>
      <c r="O4" s="91"/>
      <c r="P4" s="92"/>
      <c r="Q4" s="93"/>
    </row>
    <row r="5" spans="1:18" s="146" customFormat="1" ht="29.25" customHeight="1" x14ac:dyDescent="0.3">
      <c r="A5" s="236"/>
      <c r="B5" s="236"/>
      <c r="C5" s="236"/>
      <c r="D5" s="236"/>
      <c r="E5" s="236"/>
      <c r="F5" s="236"/>
      <c r="G5" s="233" t="s">
        <v>945</v>
      </c>
      <c r="H5" s="147">
        <f>SUBTOTAL(9,H8:H251)</f>
        <v>9930.6600000000035</v>
      </c>
      <c r="I5" s="148"/>
      <c r="J5" s="148"/>
      <c r="K5" s="147">
        <f>SUBTOTAL(9,K8:K251)</f>
        <v>4833.5149999999985</v>
      </c>
      <c r="L5" s="149">
        <f>IF(ISERROR(K5/N5),0,(K5/N5))</f>
        <v>0</v>
      </c>
      <c r="M5" s="231">
        <f>SUBTOTAL(9,M8:M251)</f>
        <v>0</v>
      </c>
      <c r="N5" s="231">
        <f>SUBTOTAL(9,N8:N251)</f>
        <v>0</v>
      </c>
      <c r="O5" s="236"/>
      <c r="P5" s="150">
        <f>SUBTOTAL(9,P8:P251)</f>
        <v>0</v>
      </c>
      <c r="Q5" s="150">
        <f>SUBTOTAL(9,Q8:Q251)</f>
        <v>0</v>
      </c>
    </row>
    <row r="6" spans="1:18" s="146" customFormat="1" ht="26.25" customHeight="1" x14ac:dyDescent="0.3">
      <c r="A6" s="301"/>
      <c r="B6" s="301"/>
      <c r="C6" s="301"/>
      <c r="D6" s="301"/>
      <c r="E6" s="301"/>
      <c r="F6" s="467"/>
      <c r="G6" s="235" t="s">
        <v>243</v>
      </c>
      <c r="H6" s="151">
        <f>SUM(H$8:H$251)</f>
        <v>9930.6600000000035</v>
      </c>
      <c r="I6" s="154"/>
      <c r="J6" s="154"/>
      <c r="K6" s="151">
        <f>SUM(K$8:K$251)</f>
        <v>4833.5149999999985</v>
      </c>
      <c r="L6" s="152">
        <f>IF(ISERROR(K6/N6),0,(K6/N6))</f>
        <v>0</v>
      </c>
      <c r="M6" s="232">
        <f>SUM(M$8:M$251)</f>
        <v>0</v>
      </c>
      <c r="N6" s="232">
        <f>SUM(N$8:N$251)</f>
        <v>0</v>
      </c>
      <c r="O6" s="301"/>
      <c r="P6" s="153">
        <f>SUM(P$8:P$251)</f>
        <v>0</v>
      </c>
      <c r="Q6" s="153">
        <f>SUM(Q$8:Q$251)</f>
        <v>0</v>
      </c>
    </row>
    <row r="7" spans="1:18" s="56" customFormat="1" ht="41.25" customHeight="1" x14ac:dyDescent="0.3">
      <c r="A7" s="54" t="s">
        <v>272</v>
      </c>
      <c r="B7" s="54" t="s">
        <v>250</v>
      </c>
      <c r="C7" s="54" t="s">
        <v>101</v>
      </c>
      <c r="D7" s="54" t="s">
        <v>103</v>
      </c>
      <c r="E7" s="54" t="s">
        <v>163</v>
      </c>
      <c r="F7" s="468" t="s">
        <v>839</v>
      </c>
      <c r="G7" s="54" t="s">
        <v>840</v>
      </c>
      <c r="H7" s="55" t="s">
        <v>100</v>
      </c>
      <c r="I7" s="55" t="s">
        <v>59</v>
      </c>
      <c r="J7" s="55" t="s">
        <v>75</v>
      </c>
      <c r="K7" s="55" t="s">
        <v>76</v>
      </c>
      <c r="L7" s="94" t="s">
        <v>77</v>
      </c>
      <c r="M7" s="95" t="s">
        <v>856</v>
      </c>
      <c r="N7" s="95" t="s">
        <v>78</v>
      </c>
      <c r="O7" s="96" t="s">
        <v>79</v>
      </c>
      <c r="P7" s="96" t="s">
        <v>80</v>
      </c>
      <c r="Q7" s="96" t="s">
        <v>81</v>
      </c>
    </row>
    <row r="8" spans="1:18" s="57" customFormat="1" ht="24.9" customHeight="1" x14ac:dyDescent="0.25">
      <c r="A8" s="470" t="str">
        <f>'Kalk UHR GS Deisenhofen'!A8</f>
        <v>Schule</v>
      </c>
      <c r="B8" s="302" t="str">
        <f>'Kalk UHR GS Deisenhofen'!B8</f>
        <v>OG</v>
      </c>
      <c r="C8" s="302" t="str">
        <f>'Kalk UHR GS Deisenhofen'!C8</f>
        <v>1.C.01</v>
      </c>
      <c r="D8" s="302" t="str">
        <f>'Kalk UHR GS Deisenhofen'!D8</f>
        <v>Garderobe</v>
      </c>
      <c r="E8" s="302" t="str">
        <f>'Kalk UHR GS Deisenhofen'!E8</f>
        <v>Linoleum</v>
      </c>
      <c r="F8" s="469" t="str">
        <f>'Kalk UHR GS Deisenhofen'!F8</f>
        <v>H1-W3</v>
      </c>
      <c r="G8" s="228" t="str">
        <f>CONCATENATE((LEFT(F8,2)),"-",I8)</f>
        <v>H1-J0,5</v>
      </c>
      <c r="H8" s="127">
        <f>'Kalk UHR GS Deisenhofen'!G8</f>
        <v>12.05</v>
      </c>
      <c r="I8" s="97" t="s">
        <v>909</v>
      </c>
      <c r="J8" s="328">
        <f>VLOOKUP(I8,Turnus!$D$9:$E$26,2,FALSE)</f>
        <v>0.5</v>
      </c>
      <c r="K8" s="127">
        <f t="shared" ref="K8:K251" si="0">+H8*J8</f>
        <v>6.0250000000000004</v>
      </c>
      <c r="L8" s="128">
        <f>VLOOKUP($G8,'Leistungswerte GR Schulen'!$C$6:$F$53,4,FALSE)</f>
        <v>0</v>
      </c>
      <c r="M8" s="129">
        <f>IF(ISERROR(H8/L8),0,H8/L8)</f>
        <v>0</v>
      </c>
      <c r="N8" s="129">
        <f t="shared" ref="N8:N251" si="1">IF(ISERROR(K8/L8),0,K8/L8)</f>
        <v>0</v>
      </c>
      <c r="O8" s="547">
        <f>O$3</f>
        <v>0</v>
      </c>
      <c r="P8" s="130">
        <f t="shared" ref="P8:P251" si="2">IF(ISERROR(H8/L8*O8),0,H8/L8*O8)</f>
        <v>0</v>
      </c>
      <c r="Q8" s="131">
        <f t="shared" ref="Q8:Q251" si="3">+N8*O8</f>
        <v>0</v>
      </c>
      <c r="R8" s="578">
        <f>IF(A8="Schule",1,IF(A8="Sporthalle",1,2))</f>
        <v>1</v>
      </c>
    </row>
    <row r="9" spans="1:18" s="57" customFormat="1" ht="24.9" customHeight="1" x14ac:dyDescent="0.25">
      <c r="A9" s="470" t="str">
        <f>'Kalk UHR GS Deisenhofen'!A9</f>
        <v>Schule</v>
      </c>
      <c r="B9" s="302" t="str">
        <f>'Kalk UHR GS Deisenhofen'!B9</f>
        <v>OG</v>
      </c>
      <c r="C9" s="302" t="str">
        <f>'Kalk UHR GS Deisenhofen'!C9</f>
        <v>1.C.F.01</v>
      </c>
      <c r="D9" s="302" t="str">
        <f>'Kalk UHR GS Deisenhofen'!D9</f>
        <v>Flur</v>
      </c>
      <c r="E9" s="302" t="str">
        <f>'Kalk UHR GS Deisenhofen'!E9</f>
        <v>Linoleum</v>
      </c>
      <c r="F9" s="469" t="str">
        <f>'Kalk UHR GS Deisenhofen'!F9</f>
        <v>F1-W5</v>
      </c>
      <c r="G9" s="228" t="str">
        <f t="shared" ref="G9:G48" si="4">CONCATENATE((LEFT(F9,2)),"-",I9)</f>
        <v>F1-J0,5</v>
      </c>
      <c r="H9" s="127">
        <f>'Kalk UHR GS Deisenhofen'!G9</f>
        <v>65.31</v>
      </c>
      <c r="I9" s="97" t="s">
        <v>909</v>
      </c>
      <c r="J9" s="328">
        <f>VLOOKUP(I9,Turnus!$D$9:$E$26,2,FALSE)</f>
        <v>0.5</v>
      </c>
      <c r="K9" s="127">
        <f t="shared" si="0"/>
        <v>32.655000000000001</v>
      </c>
      <c r="L9" s="128">
        <f>VLOOKUP($G9,'Leistungswerte GR Schulen'!$C$6:$F$53,4,FALSE)</f>
        <v>0</v>
      </c>
      <c r="M9" s="129">
        <f t="shared" ref="M9:M72" si="5">IF(ISERROR(H9/L9),0,H9/L9)</f>
        <v>0</v>
      </c>
      <c r="N9" s="129">
        <f t="shared" si="1"/>
        <v>0</v>
      </c>
      <c r="O9" s="547">
        <f t="shared" ref="O9:O251" si="6">O$3</f>
        <v>0</v>
      </c>
      <c r="P9" s="130">
        <f t="shared" si="2"/>
        <v>0</v>
      </c>
      <c r="Q9" s="131">
        <f t="shared" si="3"/>
        <v>0</v>
      </c>
      <c r="R9" s="578">
        <f t="shared" ref="R9:R72" si="7">IF(A9="Schule",1,IF(A9="Sporthalle",1,2))</f>
        <v>1</v>
      </c>
    </row>
    <row r="10" spans="1:18" s="57" customFormat="1" ht="24.9" customHeight="1" x14ac:dyDescent="0.25">
      <c r="A10" s="470" t="str">
        <f>'Kalk UHR GS Deisenhofen'!A10</f>
        <v>Schule</v>
      </c>
      <c r="B10" s="302" t="str">
        <f>'Kalk UHR GS Deisenhofen'!B10</f>
        <v>OG</v>
      </c>
      <c r="C10" s="302" t="str">
        <f>'Kalk UHR GS Deisenhofen'!C10</f>
        <v>1.C.T.02</v>
      </c>
      <c r="D10" s="302" t="str">
        <f>'Kalk UHR GS Deisenhofen'!D10</f>
        <v>Treppe</v>
      </c>
      <c r="E10" s="302" t="str">
        <f>'Kalk UHR GS Deisenhofen'!E10</f>
        <v>Naturstein</v>
      </c>
      <c r="F10" s="469" t="str">
        <f>'Kalk UHR GS Deisenhofen'!F10</f>
        <v>F3-W5</v>
      </c>
      <c r="G10" s="228" t="str">
        <f t="shared" si="4"/>
        <v>F3-J0,5</v>
      </c>
      <c r="H10" s="127">
        <f>'Kalk UHR GS Deisenhofen'!G10</f>
        <v>20.34</v>
      </c>
      <c r="I10" s="97" t="s">
        <v>909</v>
      </c>
      <c r="J10" s="328">
        <f>VLOOKUP(I10,Turnus!$D$9:$E$26,2,FALSE)</f>
        <v>0.5</v>
      </c>
      <c r="K10" s="127">
        <f t="shared" si="0"/>
        <v>10.17</v>
      </c>
      <c r="L10" s="128">
        <f>VLOOKUP($G10,'Leistungswerte GR Schulen'!$C$6:$F$53,4,FALSE)</f>
        <v>0</v>
      </c>
      <c r="M10" s="129">
        <f t="shared" si="5"/>
        <v>0</v>
      </c>
      <c r="N10" s="129">
        <f t="shared" si="1"/>
        <v>0</v>
      </c>
      <c r="O10" s="547">
        <f t="shared" si="6"/>
        <v>0</v>
      </c>
      <c r="P10" s="130">
        <f t="shared" si="2"/>
        <v>0</v>
      </c>
      <c r="Q10" s="131">
        <f t="shared" si="3"/>
        <v>0</v>
      </c>
      <c r="R10" s="578">
        <f t="shared" si="7"/>
        <v>1</v>
      </c>
    </row>
    <row r="11" spans="1:18" s="57" customFormat="1" ht="24.9" customHeight="1" x14ac:dyDescent="0.25">
      <c r="A11" s="470" t="str">
        <f>'Kalk UHR GS Deisenhofen'!A11</f>
        <v>Schule</v>
      </c>
      <c r="B11" s="302" t="str">
        <f>'Kalk UHR GS Deisenhofen'!B11</f>
        <v>OG</v>
      </c>
      <c r="C11" s="302" t="str">
        <f>'Kalk UHR GS Deisenhofen'!C11</f>
        <v>1.A.01</v>
      </c>
      <c r="D11" s="302" t="str">
        <f>'Kalk UHR GS Deisenhofen'!D11</f>
        <v>Technik</v>
      </c>
      <c r="E11" s="302">
        <f>'Kalk UHR GS Deisenhofen'!E11</f>
        <v>0</v>
      </c>
      <c r="F11" s="469" t="str">
        <f>'Kalk UHR GS Deisenhofen'!F11</f>
        <v>Z-kR</v>
      </c>
      <c r="G11" s="228" t="str">
        <f t="shared" si="4"/>
        <v>Z--kR</v>
      </c>
      <c r="H11" s="127">
        <f>'Kalk UHR GS Deisenhofen'!G11</f>
        <v>88.3</v>
      </c>
      <c r="I11" s="97" t="s">
        <v>68</v>
      </c>
      <c r="J11" s="328">
        <f>VLOOKUP(I11,Turnus!$D$9:$E$26,2,FALSE)</f>
        <v>0</v>
      </c>
      <c r="K11" s="127">
        <f t="shared" si="0"/>
        <v>0</v>
      </c>
      <c r="L11" s="128">
        <f>VLOOKUP($G11,'Leistungswerte GR Schulen'!$C$6:$F$53,4,FALSE)</f>
        <v>0</v>
      </c>
      <c r="M11" s="129">
        <f t="shared" si="5"/>
        <v>0</v>
      </c>
      <c r="N11" s="129">
        <f t="shared" si="1"/>
        <v>0</v>
      </c>
      <c r="O11" s="547">
        <f t="shared" si="6"/>
        <v>0</v>
      </c>
      <c r="P11" s="130">
        <f t="shared" si="2"/>
        <v>0</v>
      </c>
      <c r="Q11" s="131">
        <f t="shared" si="3"/>
        <v>0</v>
      </c>
      <c r="R11" s="578">
        <f t="shared" si="7"/>
        <v>1</v>
      </c>
    </row>
    <row r="12" spans="1:18" s="57" customFormat="1" ht="24.9" customHeight="1" x14ac:dyDescent="0.25">
      <c r="A12" s="470" t="str">
        <f>'Kalk UHR GS Deisenhofen'!A12</f>
        <v>Schule</v>
      </c>
      <c r="B12" s="302" t="str">
        <f>'Kalk UHR GS Deisenhofen'!B12</f>
        <v>OG</v>
      </c>
      <c r="C12" s="302" t="str">
        <f>'Kalk UHR GS Deisenhofen'!C12</f>
        <v>1.C.02</v>
      </c>
      <c r="D12" s="302" t="str">
        <f>'Kalk UHR GS Deisenhofen'!D12</f>
        <v>Klassenraum 7</v>
      </c>
      <c r="E12" s="302" t="str">
        <f>'Kalk UHR GS Deisenhofen'!E12</f>
        <v>Linoleum</v>
      </c>
      <c r="F12" s="469" t="str">
        <f>'Kalk UHR GS Deisenhofen'!F12</f>
        <v>U1-W3</v>
      </c>
      <c r="G12" s="228" t="str">
        <f t="shared" si="4"/>
        <v>U1-J0,5</v>
      </c>
      <c r="H12" s="127">
        <f>'Kalk UHR GS Deisenhofen'!G12</f>
        <v>69.63</v>
      </c>
      <c r="I12" s="97" t="s">
        <v>909</v>
      </c>
      <c r="J12" s="328">
        <f>VLOOKUP(I12,Turnus!$D$9:$E$26,2,FALSE)</f>
        <v>0.5</v>
      </c>
      <c r="K12" s="127">
        <f t="shared" si="0"/>
        <v>34.814999999999998</v>
      </c>
      <c r="L12" s="128">
        <f>VLOOKUP($G12,'Leistungswerte GR Schulen'!$C$6:$F$53,4,FALSE)</f>
        <v>0</v>
      </c>
      <c r="M12" s="129">
        <f t="shared" si="5"/>
        <v>0</v>
      </c>
      <c r="N12" s="129">
        <f t="shared" si="1"/>
        <v>0</v>
      </c>
      <c r="O12" s="547">
        <f t="shared" si="6"/>
        <v>0</v>
      </c>
      <c r="P12" s="130">
        <f t="shared" si="2"/>
        <v>0</v>
      </c>
      <c r="Q12" s="131">
        <f t="shared" si="3"/>
        <v>0</v>
      </c>
      <c r="R12" s="578">
        <f t="shared" si="7"/>
        <v>1</v>
      </c>
    </row>
    <row r="13" spans="1:18" s="57" customFormat="1" ht="24.9" customHeight="1" x14ac:dyDescent="0.25">
      <c r="A13" s="470" t="str">
        <f>'Kalk UHR GS Deisenhofen'!A13</f>
        <v>Schule</v>
      </c>
      <c r="B13" s="302" t="str">
        <f>'Kalk UHR GS Deisenhofen'!B13</f>
        <v>OG</v>
      </c>
      <c r="C13" s="302" t="str">
        <f>'Kalk UHR GS Deisenhofen'!C13</f>
        <v>1.C.03</v>
      </c>
      <c r="D13" s="302" t="str">
        <f>'Kalk UHR GS Deisenhofen'!D13</f>
        <v>Gruppenraum</v>
      </c>
      <c r="E13" s="302" t="str">
        <f>'Kalk UHR GS Deisenhofen'!E13</f>
        <v>Linoleum</v>
      </c>
      <c r="F13" s="469" t="str">
        <f>'Kalk UHR GS Deisenhofen'!F13</f>
        <v>G1-W3</v>
      </c>
      <c r="G13" s="228" t="str">
        <f t="shared" si="4"/>
        <v>G1-J0,5</v>
      </c>
      <c r="H13" s="127">
        <f>'Kalk UHR GS Deisenhofen'!G13</f>
        <v>27.22</v>
      </c>
      <c r="I13" s="97" t="s">
        <v>909</v>
      </c>
      <c r="J13" s="328">
        <f>VLOOKUP(I13,Turnus!$D$9:$E$26,2,FALSE)</f>
        <v>0.5</v>
      </c>
      <c r="K13" s="127">
        <f t="shared" si="0"/>
        <v>13.61</v>
      </c>
      <c r="L13" s="128">
        <f>VLOOKUP($G13,'Leistungswerte GR Schulen'!$C$6:$F$53,4,FALSE)</f>
        <v>0</v>
      </c>
      <c r="M13" s="129">
        <f t="shared" si="5"/>
        <v>0</v>
      </c>
      <c r="N13" s="129">
        <f t="shared" si="1"/>
        <v>0</v>
      </c>
      <c r="O13" s="547">
        <f t="shared" si="6"/>
        <v>0</v>
      </c>
      <c r="P13" s="130">
        <f t="shared" si="2"/>
        <v>0</v>
      </c>
      <c r="Q13" s="131">
        <f t="shared" si="3"/>
        <v>0</v>
      </c>
      <c r="R13" s="578">
        <f t="shared" si="7"/>
        <v>1</v>
      </c>
    </row>
    <row r="14" spans="1:18" s="57" customFormat="1" ht="24.9" customHeight="1" x14ac:dyDescent="0.25">
      <c r="A14" s="470" t="str">
        <f>'Kalk UHR GS Deisenhofen'!A14</f>
        <v>Schule</v>
      </c>
      <c r="B14" s="302" t="str">
        <f>'Kalk UHR GS Deisenhofen'!B14</f>
        <v>OG</v>
      </c>
      <c r="C14" s="302" t="str">
        <f>'Kalk UHR GS Deisenhofen'!C14</f>
        <v>1.C.04</v>
      </c>
      <c r="D14" s="302" t="str">
        <f>'Kalk UHR GS Deisenhofen'!D14</f>
        <v>Klassenraum 8</v>
      </c>
      <c r="E14" s="302" t="str">
        <f>'Kalk UHR GS Deisenhofen'!E14</f>
        <v>Linoleum</v>
      </c>
      <c r="F14" s="469" t="str">
        <f>'Kalk UHR GS Deisenhofen'!F14</f>
        <v>U1-W3</v>
      </c>
      <c r="G14" s="228" t="str">
        <f t="shared" si="4"/>
        <v>U1-J0,5</v>
      </c>
      <c r="H14" s="127">
        <f>'Kalk UHR GS Deisenhofen'!G14</f>
        <v>69.63</v>
      </c>
      <c r="I14" s="97" t="s">
        <v>909</v>
      </c>
      <c r="J14" s="328">
        <f>VLOOKUP(I14,Turnus!$D$9:$E$26,2,FALSE)</f>
        <v>0.5</v>
      </c>
      <c r="K14" s="127">
        <f t="shared" si="0"/>
        <v>34.814999999999998</v>
      </c>
      <c r="L14" s="128">
        <f>VLOOKUP($G14,'Leistungswerte GR Schulen'!$C$6:$F$53,4,FALSE)</f>
        <v>0</v>
      </c>
      <c r="M14" s="129">
        <f t="shared" si="5"/>
        <v>0</v>
      </c>
      <c r="N14" s="129">
        <f t="shared" si="1"/>
        <v>0</v>
      </c>
      <c r="O14" s="547">
        <f t="shared" si="6"/>
        <v>0</v>
      </c>
      <c r="P14" s="130">
        <f t="shared" si="2"/>
        <v>0</v>
      </c>
      <c r="Q14" s="131">
        <f t="shared" si="3"/>
        <v>0</v>
      </c>
      <c r="R14" s="578">
        <f t="shared" si="7"/>
        <v>1</v>
      </c>
    </row>
    <row r="15" spans="1:18" s="57" customFormat="1" ht="24.9" customHeight="1" x14ac:dyDescent="0.25">
      <c r="A15" s="470" t="str">
        <f>'Kalk UHR GS Deisenhofen'!A15</f>
        <v>Schule</v>
      </c>
      <c r="B15" s="302" t="str">
        <f>'Kalk UHR GS Deisenhofen'!B15</f>
        <v>OG</v>
      </c>
      <c r="C15" s="302" t="str">
        <f>'Kalk UHR GS Deisenhofen'!C15</f>
        <v>1.C.05</v>
      </c>
      <c r="D15" s="302" t="str">
        <f>'Kalk UHR GS Deisenhofen'!D15</f>
        <v>Garderobe</v>
      </c>
      <c r="E15" s="302" t="str">
        <f>'Kalk UHR GS Deisenhofen'!E15</f>
        <v>Linoleum</v>
      </c>
      <c r="F15" s="469" t="str">
        <f>'Kalk UHR GS Deisenhofen'!F15</f>
        <v>H1-W3</v>
      </c>
      <c r="G15" s="228" t="str">
        <f t="shared" si="4"/>
        <v>H1-J0,5</v>
      </c>
      <c r="H15" s="127">
        <f>'Kalk UHR GS Deisenhofen'!G15</f>
        <v>11.66</v>
      </c>
      <c r="I15" s="97" t="s">
        <v>909</v>
      </c>
      <c r="J15" s="328">
        <f>VLOOKUP(I15,Turnus!$D$9:$E$26,2,FALSE)</f>
        <v>0.5</v>
      </c>
      <c r="K15" s="127">
        <f t="shared" si="0"/>
        <v>5.83</v>
      </c>
      <c r="L15" s="128">
        <f>VLOOKUP($G15,'Leistungswerte GR Schulen'!$C$6:$F$53,4,FALSE)</f>
        <v>0</v>
      </c>
      <c r="M15" s="129">
        <f t="shared" si="5"/>
        <v>0</v>
      </c>
      <c r="N15" s="129">
        <f t="shared" si="1"/>
        <v>0</v>
      </c>
      <c r="O15" s="547">
        <f t="shared" si="6"/>
        <v>0</v>
      </c>
      <c r="P15" s="130">
        <f t="shared" si="2"/>
        <v>0</v>
      </c>
      <c r="Q15" s="131">
        <f t="shared" si="3"/>
        <v>0</v>
      </c>
      <c r="R15" s="578">
        <f t="shared" si="7"/>
        <v>1</v>
      </c>
    </row>
    <row r="16" spans="1:18" s="57" customFormat="1" ht="24.9" customHeight="1" x14ac:dyDescent="0.25">
      <c r="A16" s="470" t="str">
        <f>'Kalk UHR GS Deisenhofen'!A16</f>
        <v>Schule</v>
      </c>
      <c r="B16" s="302" t="str">
        <f>'Kalk UHR GS Deisenhofen'!B16</f>
        <v>OG</v>
      </c>
      <c r="C16" s="302" t="str">
        <f>'Kalk UHR GS Deisenhofen'!C16</f>
        <v>1.C.F.02</v>
      </c>
      <c r="D16" s="302" t="str">
        <f>'Kalk UHR GS Deisenhofen'!D16</f>
        <v>Flur</v>
      </c>
      <c r="E16" s="302" t="str">
        <f>'Kalk UHR GS Deisenhofen'!E16</f>
        <v>Linoleum</v>
      </c>
      <c r="F16" s="469" t="str">
        <f>'Kalk UHR GS Deisenhofen'!F16</f>
        <v>F1-W5</v>
      </c>
      <c r="G16" s="228" t="str">
        <f t="shared" si="4"/>
        <v>F1-J0,5</v>
      </c>
      <c r="H16" s="127">
        <f>'Kalk UHR GS Deisenhofen'!G16</f>
        <v>83.53</v>
      </c>
      <c r="I16" s="97" t="s">
        <v>909</v>
      </c>
      <c r="J16" s="328">
        <f>VLOOKUP(I16,Turnus!$D$9:$E$26,2,FALSE)</f>
        <v>0.5</v>
      </c>
      <c r="K16" s="127">
        <f t="shared" si="0"/>
        <v>41.765000000000001</v>
      </c>
      <c r="L16" s="128">
        <f>VLOOKUP($G16,'Leistungswerte GR Schulen'!$C$6:$F$53,4,FALSE)</f>
        <v>0</v>
      </c>
      <c r="M16" s="129">
        <f t="shared" si="5"/>
        <v>0</v>
      </c>
      <c r="N16" s="129">
        <f t="shared" si="1"/>
        <v>0</v>
      </c>
      <c r="O16" s="547">
        <f t="shared" si="6"/>
        <v>0</v>
      </c>
      <c r="P16" s="130">
        <f t="shared" si="2"/>
        <v>0</v>
      </c>
      <c r="Q16" s="131">
        <f t="shared" si="3"/>
        <v>0</v>
      </c>
      <c r="R16" s="578">
        <f t="shared" si="7"/>
        <v>1</v>
      </c>
    </row>
    <row r="17" spans="1:18" s="57" customFormat="1" ht="24.9" customHeight="1" x14ac:dyDescent="0.25">
      <c r="A17" s="470" t="str">
        <f>'Kalk UHR GS Deisenhofen'!A17</f>
        <v>Schule</v>
      </c>
      <c r="B17" s="302" t="str">
        <f>'Kalk UHR GS Deisenhofen'!B17</f>
        <v>OG</v>
      </c>
      <c r="C17" s="302" t="str">
        <f>'Kalk UHR GS Deisenhofen'!C17</f>
        <v>1.C.06</v>
      </c>
      <c r="D17" s="302" t="str">
        <f>'Kalk UHR GS Deisenhofen'!D17</f>
        <v>Garderobe</v>
      </c>
      <c r="E17" s="302" t="str">
        <f>'Kalk UHR GS Deisenhofen'!E17</f>
        <v>Linoleum</v>
      </c>
      <c r="F17" s="469" t="str">
        <f>'Kalk UHR GS Deisenhofen'!F17</f>
        <v>H1-W3</v>
      </c>
      <c r="G17" s="228" t="str">
        <f t="shared" si="4"/>
        <v>H1-J0,5</v>
      </c>
      <c r="H17" s="127">
        <f>'Kalk UHR GS Deisenhofen'!G17</f>
        <v>11.66</v>
      </c>
      <c r="I17" s="97" t="s">
        <v>909</v>
      </c>
      <c r="J17" s="328">
        <f>VLOOKUP(I17,Turnus!$D$9:$E$26,2,FALSE)</f>
        <v>0.5</v>
      </c>
      <c r="K17" s="127">
        <f t="shared" si="0"/>
        <v>5.83</v>
      </c>
      <c r="L17" s="128">
        <f>VLOOKUP($G17,'Leistungswerte GR Schulen'!$C$6:$F$53,4,FALSE)</f>
        <v>0</v>
      </c>
      <c r="M17" s="129">
        <f t="shared" si="5"/>
        <v>0</v>
      </c>
      <c r="N17" s="129">
        <f t="shared" si="1"/>
        <v>0</v>
      </c>
      <c r="O17" s="547">
        <f t="shared" si="6"/>
        <v>0</v>
      </c>
      <c r="P17" s="130">
        <f t="shared" si="2"/>
        <v>0</v>
      </c>
      <c r="Q17" s="131">
        <f t="shared" si="3"/>
        <v>0</v>
      </c>
      <c r="R17" s="578">
        <f t="shared" si="7"/>
        <v>1</v>
      </c>
    </row>
    <row r="18" spans="1:18" s="57" customFormat="1" ht="24.9" customHeight="1" x14ac:dyDescent="0.25">
      <c r="A18" s="470" t="str">
        <f>'Kalk UHR GS Deisenhofen'!A18</f>
        <v>Schule</v>
      </c>
      <c r="B18" s="302" t="str">
        <f>'Kalk UHR GS Deisenhofen'!B18</f>
        <v>OG</v>
      </c>
      <c r="C18" s="302" t="str">
        <f>'Kalk UHR GS Deisenhofen'!C18</f>
        <v>1.C.07</v>
      </c>
      <c r="D18" s="302" t="str">
        <f>'Kalk UHR GS Deisenhofen'!D18</f>
        <v>Klassenraum 9</v>
      </c>
      <c r="E18" s="302" t="str">
        <f>'Kalk UHR GS Deisenhofen'!E18</f>
        <v>Linoleum</v>
      </c>
      <c r="F18" s="469" t="str">
        <f>'Kalk UHR GS Deisenhofen'!F18</f>
        <v>U1-W3</v>
      </c>
      <c r="G18" s="228" t="str">
        <f t="shared" si="4"/>
        <v>U1-J0,5</v>
      </c>
      <c r="H18" s="127">
        <f>'Kalk UHR GS Deisenhofen'!G18</f>
        <v>69.63</v>
      </c>
      <c r="I18" s="97" t="s">
        <v>909</v>
      </c>
      <c r="J18" s="328">
        <f>VLOOKUP(I18,Turnus!$D$9:$E$26,2,FALSE)</f>
        <v>0.5</v>
      </c>
      <c r="K18" s="127">
        <f t="shared" si="0"/>
        <v>34.814999999999998</v>
      </c>
      <c r="L18" s="128">
        <f>VLOOKUP($G18,'Leistungswerte GR Schulen'!$C$6:$F$53,4,FALSE)</f>
        <v>0</v>
      </c>
      <c r="M18" s="129">
        <f t="shared" si="5"/>
        <v>0</v>
      </c>
      <c r="N18" s="129">
        <f t="shared" si="1"/>
        <v>0</v>
      </c>
      <c r="O18" s="547">
        <f t="shared" si="6"/>
        <v>0</v>
      </c>
      <c r="P18" s="130">
        <f t="shared" si="2"/>
        <v>0</v>
      </c>
      <c r="Q18" s="131">
        <f t="shared" si="3"/>
        <v>0</v>
      </c>
      <c r="R18" s="578">
        <f t="shared" si="7"/>
        <v>1</v>
      </c>
    </row>
    <row r="19" spans="1:18" s="57" customFormat="1" ht="24.9" customHeight="1" x14ac:dyDescent="0.25">
      <c r="A19" s="470" t="str">
        <f>'Kalk UHR GS Deisenhofen'!A19</f>
        <v>Schule</v>
      </c>
      <c r="B19" s="302" t="str">
        <f>'Kalk UHR GS Deisenhofen'!B19</f>
        <v>OG</v>
      </c>
      <c r="C19" s="302" t="str">
        <f>'Kalk UHR GS Deisenhofen'!C19</f>
        <v>1.C.08</v>
      </c>
      <c r="D19" s="302" t="str">
        <f>'Kalk UHR GS Deisenhofen'!D19</f>
        <v>Gruppenraum</v>
      </c>
      <c r="E19" s="302" t="str">
        <f>'Kalk UHR GS Deisenhofen'!E19</f>
        <v>Linoleum</v>
      </c>
      <c r="F19" s="469" t="str">
        <f>'Kalk UHR GS Deisenhofen'!F19</f>
        <v>G1-W3</v>
      </c>
      <c r="G19" s="228" t="str">
        <f t="shared" si="4"/>
        <v>G1-J0,5</v>
      </c>
      <c r="H19" s="127">
        <f>'Kalk UHR GS Deisenhofen'!G19</f>
        <v>27.22</v>
      </c>
      <c r="I19" s="97" t="s">
        <v>909</v>
      </c>
      <c r="J19" s="328">
        <f>VLOOKUP(I19,Turnus!$D$9:$E$26,2,FALSE)</f>
        <v>0.5</v>
      </c>
      <c r="K19" s="127">
        <f t="shared" si="0"/>
        <v>13.61</v>
      </c>
      <c r="L19" s="128">
        <f>VLOOKUP($G19,'Leistungswerte GR Schulen'!$C$6:$F$53,4,FALSE)</f>
        <v>0</v>
      </c>
      <c r="M19" s="129">
        <f t="shared" si="5"/>
        <v>0</v>
      </c>
      <c r="N19" s="129">
        <f t="shared" si="1"/>
        <v>0</v>
      </c>
      <c r="O19" s="547">
        <f t="shared" si="6"/>
        <v>0</v>
      </c>
      <c r="P19" s="130">
        <f t="shared" si="2"/>
        <v>0</v>
      </c>
      <c r="Q19" s="131">
        <f t="shared" si="3"/>
        <v>0</v>
      </c>
      <c r="R19" s="578">
        <f t="shared" si="7"/>
        <v>1</v>
      </c>
    </row>
    <row r="20" spans="1:18" s="57" customFormat="1" ht="24.9" customHeight="1" x14ac:dyDescent="0.25">
      <c r="A20" s="470" t="str">
        <f>'Kalk UHR GS Deisenhofen'!A20</f>
        <v>Schule</v>
      </c>
      <c r="B20" s="302" t="str">
        <f>'Kalk UHR GS Deisenhofen'!B20</f>
        <v>OG</v>
      </c>
      <c r="C20" s="302" t="str">
        <f>'Kalk UHR GS Deisenhofen'!C20</f>
        <v>1.C.09</v>
      </c>
      <c r="D20" s="302" t="str">
        <f>'Kalk UHR GS Deisenhofen'!D20</f>
        <v>Klassenraum 10</v>
      </c>
      <c r="E20" s="302" t="str">
        <f>'Kalk UHR GS Deisenhofen'!E20</f>
        <v>Linoleum</v>
      </c>
      <c r="F20" s="469" t="str">
        <f>'Kalk UHR GS Deisenhofen'!F20</f>
        <v>U1-W3</v>
      </c>
      <c r="G20" s="228" t="str">
        <f t="shared" si="4"/>
        <v>U1-J0,5</v>
      </c>
      <c r="H20" s="127">
        <f>'Kalk UHR GS Deisenhofen'!G20</f>
        <v>69.63</v>
      </c>
      <c r="I20" s="97" t="s">
        <v>909</v>
      </c>
      <c r="J20" s="328">
        <f>VLOOKUP(I20,Turnus!$D$9:$E$26,2,FALSE)</f>
        <v>0.5</v>
      </c>
      <c r="K20" s="127">
        <f t="shared" si="0"/>
        <v>34.814999999999998</v>
      </c>
      <c r="L20" s="128">
        <f>VLOOKUP($G20,'Leistungswerte GR Schulen'!$C$6:$F$53,4,FALSE)</f>
        <v>0</v>
      </c>
      <c r="M20" s="129">
        <f t="shared" si="5"/>
        <v>0</v>
      </c>
      <c r="N20" s="129">
        <f t="shared" si="1"/>
        <v>0</v>
      </c>
      <c r="O20" s="547">
        <f t="shared" si="6"/>
        <v>0</v>
      </c>
      <c r="P20" s="130">
        <f t="shared" si="2"/>
        <v>0</v>
      </c>
      <c r="Q20" s="131">
        <f t="shared" si="3"/>
        <v>0</v>
      </c>
      <c r="R20" s="578">
        <f t="shared" si="7"/>
        <v>1</v>
      </c>
    </row>
    <row r="21" spans="1:18" s="57" customFormat="1" ht="24.9" customHeight="1" x14ac:dyDescent="0.25">
      <c r="A21" s="470" t="str">
        <f>'Kalk UHR GS Deisenhofen'!A21</f>
        <v>Schule</v>
      </c>
      <c r="B21" s="302" t="str">
        <f>'Kalk UHR GS Deisenhofen'!B21</f>
        <v>OG</v>
      </c>
      <c r="C21" s="302" t="str">
        <f>'Kalk UHR GS Deisenhofen'!C21</f>
        <v>1.C.10</v>
      </c>
      <c r="D21" s="302" t="str">
        <f>'Kalk UHR GS Deisenhofen'!D21</f>
        <v>Garderobe</v>
      </c>
      <c r="E21" s="302" t="str">
        <f>'Kalk UHR GS Deisenhofen'!E21</f>
        <v>Linoleum</v>
      </c>
      <c r="F21" s="469" t="str">
        <f>'Kalk UHR GS Deisenhofen'!F21</f>
        <v>H1-W3</v>
      </c>
      <c r="G21" s="228" t="str">
        <f t="shared" si="4"/>
        <v>H1-J0,5</v>
      </c>
      <c r="H21" s="127">
        <f>'Kalk UHR GS Deisenhofen'!G21</f>
        <v>11.66</v>
      </c>
      <c r="I21" s="97" t="s">
        <v>909</v>
      </c>
      <c r="J21" s="328">
        <f>VLOOKUP(I21,Turnus!$D$9:$E$26,2,FALSE)</f>
        <v>0.5</v>
      </c>
      <c r="K21" s="127">
        <f t="shared" si="0"/>
        <v>5.83</v>
      </c>
      <c r="L21" s="128">
        <f>VLOOKUP($G21,'Leistungswerte GR Schulen'!$C$6:$F$53,4,FALSE)</f>
        <v>0</v>
      </c>
      <c r="M21" s="129">
        <f t="shared" si="5"/>
        <v>0</v>
      </c>
      <c r="N21" s="129">
        <f t="shared" si="1"/>
        <v>0</v>
      </c>
      <c r="O21" s="547">
        <f t="shared" si="6"/>
        <v>0</v>
      </c>
      <c r="P21" s="130">
        <f t="shared" si="2"/>
        <v>0</v>
      </c>
      <c r="Q21" s="131">
        <f t="shared" si="3"/>
        <v>0</v>
      </c>
      <c r="R21" s="578">
        <f t="shared" si="7"/>
        <v>1</v>
      </c>
    </row>
    <row r="22" spans="1:18" s="57" customFormat="1" ht="24.9" customHeight="1" x14ac:dyDescent="0.25">
      <c r="A22" s="470" t="str">
        <f>'Kalk UHR GS Deisenhofen'!A22</f>
        <v>Schule</v>
      </c>
      <c r="B22" s="302" t="str">
        <f>'Kalk UHR GS Deisenhofen'!B22</f>
        <v>OG</v>
      </c>
      <c r="C22" s="302" t="str">
        <f>'Kalk UHR GS Deisenhofen'!C22</f>
        <v>1.C.11</v>
      </c>
      <c r="D22" s="302" t="str">
        <f>'Kalk UHR GS Deisenhofen'!D22</f>
        <v>IT</v>
      </c>
      <c r="E22" s="302" t="str">
        <f>'Kalk UHR GS Deisenhofen'!E22</f>
        <v>Hartbelag</v>
      </c>
      <c r="F22" s="469" t="str">
        <f>'Kalk UHR GS Deisenhofen'!F22</f>
        <v>Z-kR</v>
      </c>
      <c r="G22" s="228" t="str">
        <f t="shared" si="4"/>
        <v>Z--kR</v>
      </c>
      <c r="H22" s="127">
        <f>'Kalk UHR GS Deisenhofen'!G22</f>
        <v>4.47</v>
      </c>
      <c r="I22" s="97" t="s">
        <v>68</v>
      </c>
      <c r="J22" s="328">
        <f>VLOOKUP(I22,Turnus!$D$9:$E$26,2,FALSE)</f>
        <v>0</v>
      </c>
      <c r="K22" s="127">
        <f t="shared" si="0"/>
        <v>0</v>
      </c>
      <c r="L22" s="128">
        <f>VLOOKUP($G22,'Leistungswerte GR Schulen'!$C$6:$F$53,4,FALSE)</f>
        <v>0</v>
      </c>
      <c r="M22" s="129">
        <f t="shared" si="5"/>
        <v>0</v>
      </c>
      <c r="N22" s="129">
        <f t="shared" si="1"/>
        <v>0</v>
      </c>
      <c r="O22" s="547">
        <f t="shared" si="6"/>
        <v>0</v>
      </c>
      <c r="P22" s="130">
        <f t="shared" si="2"/>
        <v>0</v>
      </c>
      <c r="Q22" s="131">
        <f t="shared" si="3"/>
        <v>0</v>
      </c>
      <c r="R22" s="578">
        <f t="shared" si="7"/>
        <v>1</v>
      </c>
    </row>
    <row r="23" spans="1:18" s="57" customFormat="1" ht="24.9" customHeight="1" x14ac:dyDescent="0.25">
      <c r="A23" s="470" t="str">
        <f>'Kalk UHR GS Deisenhofen'!A23</f>
        <v>Schule</v>
      </c>
      <c r="B23" s="302" t="str">
        <f>'Kalk UHR GS Deisenhofen'!B23</f>
        <v>OG</v>
      </c>
      <c r="C23" s="302" t="str">
        <f>'Kalk UHR GS Deisenhofen'!C23</f>
        <v>1.C.12</v>
      </c>
      <c r="D23" s="302" t="str">
        <f>'Kalk UHR GS Deisenhofen'!D23</f>
        <v>Lehrmittel</v>
      </c>
      <c r="E23" s="302" t="str">
        <f>'Kalk UHR GS Deisenhofen'!E23</f>
        <v>Linoleum</v>
      </c>
      <c r="F23" s="469" t="str">
        <f>'Kalk UHR GS Deisenhofen'!F23</f>
        <v>L1-M1</v>
      </c>
      <c r="G23" s="228" t="str">
        <f t="shared" si="4"/>
        <v>L1-J0,5</v>
      </c>
      <c r="H23" s="127">
        <f>'Kalk UHR GS Deisenhofen'!G23</f>
        <v>9.81</v>
      </c>
      <c r="I23" s="97" t="s">
        <v>909</v>
      </c>
      <c r="J23" s="328">
        <f>VLOOKUP(I23,Turnus!$D$9:$E$26,2,FALSE)</f>
        <v>0.5</v>
      </c>
      <c r="K23" s="127">
        <f t="shared" si="0"/>
        <v>4.9050000000000002</v>
      </c>
      <c r="L23" s="128">
        <f>VLOOKUP($G23,'Leistungswerte GR Schulen'!$C$6:$F$53,4,FALSE)</f>
        <v>0</v>
      </c>
      <c r="M23" s="129">
        <f t="shared" si="5"/>
        <v>0</v>
      </c>
      <c r="N23" s="129">
        <f t="shared" si="1"/>
        <v>0</v>
      </c>
      <c r="O23" s="547">
        <f t="shared" si="6"/>
        <v>0</v>
      </c>
      <c r="P23" s="130">
        <f t="shared" si="2"/>
        <v>0</v>
      </c>
      <c r="Q23" s="131">
        <f t="shared" si="3"/>
        <v>0</v>
      </c>
      <c r="R23" s="578">
        <f t="shared" si="7"/>
        <v>1</v>
      </c>
    </row>
    <row r="24" spans="1:18" s="57" customFormat="1" ht="24.9" customHeight="1" x14ac:dyDescent="0.25">
      <c r="A24" s="470" t="str">
        <f>'Kalk UHR GS Deisenhofen'!A24</f>
        <v>Schule</v>
      </c>
      <c r="B24" s="302" t="str">
        <f>'Kalk UHR GS Deisenhofen'!B24</f>
        <v>OG</v>
      </c>
      <c r="C24" s="302" t="str">
        <f>'Kalk UHR GS Deisenhofen'!C24</f>
        <v>1.C.13</v>
      </c>
      <c r="D24" s="302" t="str">
        <f>'Kalk UHR GS Deisenhofen'!D24</f>
        <v>WC-Lehrer</v>
      </c>
      <c r="E24" s="302" t="str">
        <f>'Kalk UHR GS Deisenhofen'!E24</f>
        <v>Fliesen</v>
      </c>
      <c r="F24" s="469" t="str">
        <f>'Kalk UHR GS Deisenhofen'!F24</f>
        <v>S1-W5</v>
      </c>
      <c r="G24" s="228" t="str">
        <f t="shared" si="4"/>
        <v>S1-J1</v>
      </c>
      <c r="H24" s="127">
        <f>'Kalk UHR GS Deisenhofen'!G24</f>
        <v>3.17</v>
      </c>
      <c r="I24" s="97" t="s">
        <v>54</v>
      </c>
      <c r="J24" s="328">
        <f>VLOOKUP(I24,Turnus!$D$9:$E$26,2,FALSE)</f>
        <v>1</v>
      </c>
      <c r="K24" s="127">
        <f t="shared" si="0"/>
        <v>3.17</v>
      </c>
      <c r="L24" s="128">
        <f>VLOOKUP($G24,'Leistungswerte GR Schulen'!$C$6:$F$53,4,FALSE)</f>
        <v>0</v>
      </c>
      <c r="M24" s="129">
        <f t="shared" si="5"/>
        <v>0</v>
      </c>
      <c r="N24" s="129">
        <f t="shared" si="1"/>
        <v>0</v>
      </c>
      <c r="O24" s="547">
        <f t="shared" si="6"/>
        <v>0</v>
      </c>
      <c r="P24" s="130">
        <f t="shared" si="2"/>
        <v>0</v>
      </c>
      <c r="Q24" s="131">
        <f t="shared" si="3"/>
        <v>0</v>
      </c>
      <c r="R24" s="578">
        <f t="shared" si="7"/>
        <v>1</v>
      </c>
    </row>
    <row r="25" spans="1:18" s="57" customFormat="1" ht="24.9" customHeight="1" x14ac:dyDescent="0.25">
      <c r="A25" s="470" t="str">
        <f>'Kalk UHR GS Deisenhofen'!A25</f>
        <v>Schule</v>
      </c>
      <c r="B25" s="302" t="str">
        <f>'Kalk UHR GS Deisenhofen'!B25</f>
        <v>OG</v>
      </c>
      <c r="C25" s="302" t="str">
        <f>'Kalk UHR GS Deisenhofen'!C25</f>
        <v>1.C.14</v>
      </c>
      <c r="D25" s="302" t="str">
        <f>'Kalk UHR GS Deisenhofen'!D25</f>
        <v>WC-Mädchen</v>
      </c>
      <c r="E25" s="302" t="str">
        <f>'Kalk UHR GS Deisenhofen'!E25</f>
        <v>Fliesen</v>
      </c>
      <c r="F25" s="469" t="str">
        <f>'Kalk UHR GS Deisenhofen'!F25</f>
        <v>S1-W5</v>
      </c>
      <c r="G25" s="228" t="str">
        <f t="shared" si="4"/>
        <v>S1-J1</v>
      </c>
      <c r="H25" s="127">
        <f>'Kalk UHR GS Deisenhofen'!G25</f>
        <v>18.28</v>
      </c>
      <c r="I25" s="97" t="s">
        <v>54</v>
      </c>
      <c r="J25" s="328">
        <f>VLOOKUP(I25,Turnus!$D$9:$E$26,2,FALSE)</f>
        <v>1</v>
      </c>
      <c r="K25" s="127">
        <f t="shared" si="0"/>
        <v>18.28</v>
      </c>
      <c r="L25" s="128">
        <f>VLOOKUP($G25,'Leistungswerte GR Schulen'!$C$6:$F$53,4,FALSE)</f>
        <v>0</v>
      </c>
      <c r="M25" s="129">
        <f t="shared" si="5"/>
        <v>0</v>
      </c>
      <c r="N25" s="129">
        <f t="shared" si="1"/>
        <v>0</v>
      </c>
      <c r="O25" s="547">
        <f t="shared" si="6"/>
        <v>0</v>
      </c>
      <c r="P25" s="130">
        <f t="shared" si="2"/>
        <v>0</v>
      </c>
      <c r="Q25" s="131">
        <f t="shared" si="3"/>
        <v>0</v>
      </c>
      <c r="R25" s="578">
        <f t="shared" si="7"/>
        <v>1</v>
      </c>
    </row>
    <row r="26" spans="1:18" s="57" customFormat="1" ht="24.9" customHeight="1" x14ac:dyDescent="0.25">
      <c r="A26" s="470" t="str">
        <f>'Kalk UHR GS Deisenhofen'!A26</f>
        <v>Schule</v>
      </c>
      <c r="B26" s="302" t="str">
        <f>'Kalk UHR GS Deisenhofen'!B26</f>
        <v>OG</v>
      </c>
      <c r="C26" s="302" t="str">
        <f>'Kalk UHR GS Deisenhofen'!C26</f>
        <v>1.C.15</v>
      </c>
      <c r="D26" s="302" t="str">
        <f>'Kalk UHR GS Deisenhofen'!D26</f>
        <v>WC-Jungen</v>
      </c>
      <c r="E26" s="302" t="str">
        <f>'Kalk UHR GS Deisenhofen'!E26</f>
        <v>Fliesen</v>
      </c>
      <c r="F26" s="469" t="str">
        <f>'Kalk UHR GS Deisenhofen'!F26</f>
        <v>S1-W5</v>
      </c>
      <c r="G26" s="228" t="str">
        <f t="shared" si="4"/>
        <v>S1-J1</v>
      </c>
      <c r="H26" s="127">
        <f>'Kalk UHR GS Deisenhofen'!G26</f>
        <v>18.22</v>
      </c>
      <c r="I26" s="97" t="s">
        <v>54</v>
      </c>
      <c r="J26" s="328">
        <f>VLOOKUP(I26,Turnus!$D$9:$E$26,2,FALSE)</f>
        <v>1</v>
      </c>
      <c r="K26" s="127">
        <f t="shared" si="0"/>
        <v>18.22</v>
      </c>
      <c r="L26" s="128">
        <f>VLOOKUP($G26,'Leistungswerte GR Schulen'!$C$6:$F$53,4,FALSE)</f>
        <v>0</v>
      </c>
      <c r="M26" s="129">
        <f t="shared" si="5"/>
        <v>0</v>
      </c>
      <c r="N26" s="129">
        <f t="shared" si="1"/>
        <v>0</v>
      </c>
      <c r="O26" s="547">
        <f t="shared" si="6"/>
        <v>0</v>
      </c>
      <c r="P26" s="130">
        <f t="shared" si="2"/>
        <v>0</v>
      </c>
      <c r="Q26" s="131">
        <f t="shared" si="3"/>
        <v>0</v>
      </c>
      <c r="R26" s="578">
        <f t="shared" si="7"/>
        <v>1</v>
      </c>
    </row>
    <row r="27" spans="1:18" s="57" customFormat="1" ht="24.9" customHeight="1" x14ac:dyDescent="0.25">
      <c r="A27" s="470" t="str">
        <f>'Kalk UHR GS Deisenhofen'!A27</f>
        <v>Schule</v>
      </c>
      <c r="B27" s="302" t="str">
        <f>'Kalk UHR GS Deisenhofen'!B27</f>
        <v>OG</v>
      </c>
      <c r="C27" s="302" t="str">
        <f>'Kalk UHR GS Deisenhofen'!C27</f>
        <v>1.C.16</v>
      </c>
      <c r="D27" s="302" t="str">
        <f>'Kalk UHR GS Deisenhofen'!D27</f>
        <v>WC-Behinderte</v>
      </c>
      <c r="E27" s="302" t="str">
        <f>'Kalk UHR GS Deisenhofen'!E27</f>
        <v>Fliesen</v>
      </c>
      <c r="F27" s="469" t="str">
        <f>'Kalk UHR GS Deisenhofen'!F27</f>
        <v>S1-W5</v>
      </c>
      <c r="G27" s="228" t="str">
        <f t="shared" si="4"/>
        <v>S1-J1</v>
      </c>
      <c r="H27" s="127">
        <f>'Kalk UHR GS Deisenhofen'!G27</f>
        <v>6.53</v>
      </c>
      <c r="I27" s="97" t="s">
        <v>54</v>
      </c>
      <c r="J27" s="328">
        <f>VLOOKUP(I27,Turnus!$D$9:$E$26,2,FALSE)</f>
        <v>1</v>
      </c>
      <c r="K27" s="127">
        <f t="shared" si="0"/>
        <v>6.53</v>
      </c>
      <c r="L27" s="128">
        <f>VLOOKUP($G27,'Leistungswerte GR Schulen'!$C$6:$F$53,4,FALSE)</f>
        <v>0</v>
      </c>
      <c r="M27" s="129">
        <f t="shared" si="5"/>
        <v>0</v>
      </c>
      <c r="N27" s="129">
        <f t="shared" si="1"/>
        <v>0</v>
      </c>
      <c r="O27" s="547">
        <f t="shared" si="6"/>
        <v>0</v>
      </c>
      <c r="P27" s="130">
        <f t="shared" si="2"/>
        <v>0</v>
      </c>
      <c r="Q27" s="131">
        <f t="shared" si="3"/>
        <v>0</v>
      </c>
      <c r="R27" s="578">
        <f t="shared" si="7"/>
        <v>1</v>
      </c>
    </row>
    <row r="28" spans="1:18" s="57" customFormat="1" ht="24.9" customHeight="1" x14ac:dyDescent="0.25">
      <c r="A28" s="470" t="str">
        <f>'Kalk UHR GS Deisenhofen'!A28</f>
        <v>Schule</v>
      </c>
      <c r="B28" s="302" t="str">
        <f>'Kalk UHR GS Deisenhofen'!B28</f>
        <v>OG</v>
      </c>
      <c r="C28" s="302" t="str">
        <f>'Kalk UHR GS Deisenhofen'!C28</f>
        <v>1.C.F.03</v>
      </c>
      <c r="D28" s="302" t="str">
        <f>'Kalk UHR GS Deisenhofen'!D28</f>
        <v>Galerie</v>
      </c>
      <c r="E28" s="302" t="str">
        <f>'Kalk UHR GS Deisenhofen'!E28</f>
        <v>Linoleum</v>
      </c>
      <c r="F28" s="469" t="str">
        <f>'Kalk UHR GS Deisenhofen'!F28</f>
        <v>F1-W5</v>
      </c>
      <c r="G28" s="228" t="str">
        <f t="shared" si="4"/>
        <v>F1-J0,5</v>
      </c>
      <c r="H28" s="127">
        <f>'Kalk UHR GS Deisenhofen'!G28</f>
        <v>198.98</v>
      </c>
      <c r="I28" s="97" t="s">
        <v>909</v>
      </c>
      <c r="J28" s="328">
        <f>VLOOKUP(I28,Turnus!$D$9:$E$26,2,FALSE)</f>
        <v>0.5</v>
      </c>
      <c r="K28" s="127">
        <f t="shared" si="0"/>
        <v>99.49</v>
      </c>
      <c r="L28" s="128">
        <f>VLOOKUP($G28,'Leistungswerte GR Schulen'!$C$6:$F$53,4,FALSE)</f>
        <v>0</v>
      </c>
      <c r="M28" s="129">
        <f t="shared" si="5"/>
        <v>0</v>
      </c>
      <c r="N28" s="129">
        <f t="shared" si="1"/>
        <v>0</v>
      </c>
      <c r="O28" s="547">
        <f t="shared" si="6"/>
        <v>0</v>
      </c>
      <c r="P28" s="130">
        <f t="shared" si="2"/>
        <v>0</v>
      </c>
      <c r="Q28" s="131">
        <f t="shared" si="3"/>
        <v>0</v>
      </c>
      <c r="R28" s="578">
        <f t="shared" si="7"/>
        <v>1</v>
      </c>
    </row>
    <row r="29" spans="1:18" s="57" customFormat="1" ht="24.9" customHeight="1" x14ac:dyDescent="0.25">
      <c r="A29" s="470" t="str">
        <f>'Kalk UHR GS Deisenhofen'!A29</f>
        <v>Schule</v>
      </c>
      <c r="B29" s="302" t="str">
        <f>'Kalk UHR GS Deisenhofen'!B29</f>
        <v>OG</v>
      </c>
      <c r="C29" s="302" t="str">
        <f>'Kalk UHR GS Deisenhofen'!C29</f>
        <v>1.C.T.04</v>
      </c>
      <c r="D29" s="302" t="str">
        <f>'Kalk UHR GS Deisenhofen'!D29</f>
        <v>Treppe</v>
      </c>
      <c r="E29" s="302" t="str">
        <f>'Kalk UHR GS Deisenhofen'!E29</f>
        <v>Naturstein</v>
      </c>
      <c r="F29" s="469" t="str">
        <f>'Kalk UHR GS Deisenhofen'!F29</f>
        <v>F3-W5</v>
      </c>
      <c r="G29" s="228" t="str">
        <f t="shared" si="4"/>
        <v>F3-J0,5</v>
      </c>
      <c r="H29" s="127">
        <f>'Kalk UHR GS Deisenhofen'!G29</f>
        <v>16.02</v>
      </c>
      <c r="I29" s="97" t="s">
        <v>909</v>
      </c>
      <c r="J29" s="328">
        <f>VLOOKUP(I29,Turnus!$D$9:$E$26,2,FALSE)</f>
        <v>0.5</v>
      </c>
      <c r="K29" s="127">
        <f t="shared" si="0"/>
        <v>8.01</v>
      </c>
      <c r="L29" s="128">
        <f>VLOOKUP($G29,'Leistungswerte GR Schulen'!$C$6:$F$53,4,FALSE)</f>
        <v>0</v>
      </c>
      <c r="M29" s="129">
        <f t="shared" si="5"/>
        <v>0</v>
      </c>
      <c r="N29" s="129">
        <f t="shared" si="1"/>
        <v>0</v>
      </c>
      <c r="O29" s="547">
        <f t="shared" si="6"/>
        <v>0</v>
      </c>
      <c r="P29" s="130">
        <f t="shared" si="2"/>
        <v>0</v>
      </c>
      <c r="Q29" s="131">
        <f t="shared" si="3"/>
        <v>0</v>
      </c>
      <c r="R29" s="578">
        <f t="shared" si="7"/>
        <v>1</v>
      </c>
    </row>
    <row r="30" spans="1:18" s="57" customFormat="1" ht="24.9" customHeight="1" x14ac:dyDescent="0.25">
      <c r="A30" s="470" t="str">
        <f>'Kalk UHR GS Deisenhofen'!A30</f>
        <v>Schule</v>
      </c>
      <c r="B30" s="302" t="str">
        <f>'Kalk UHR GS Deisenhofen'!B30</f>
        <v>OG</v>
      </c>
      <c r="C30" s="302" t="str">
        <f>'Kalk UHR GS Deisenhofen'!C30</f>
        <v>1.C.17</v>
      </c>
      <c r="D30" s="302" t="str">
        <f>'Kalk UHR GS Deisenhofen'!D30</f>
        <v>Klassen-/Fachraum</v>
      </c>
      <c r="E30" s="302" t="str">
        <f>'Kalk UHR GS Deisenhofen'!E30</f>
        <v>Linoleum</v>
      </c>
      <c r="F30" s="469" t="str">
        <f>'Kalk UHR GS Deisenhofen'!F30</f>
        <v>U1-W3</v>
      </c>
      <c r="G30" s="228" t="str">
        <f t="shared" si="4"/>
        <v>U1-J0,5</v>
      </c>
      <c r="H30" s="127">
        <f>'Kalk UHR GS Deisenhofen'!G30</f>
        <v>61.96</v>
      </c>
      <c r="I30" s="97" t="s">
        <v>909</v>
      </c>
      <c r="J30" s="328">
        <f>VLOOKUP(I30,Turnus!$D$9:$E$26,2,FALSE)</f>
        <v>0.5</v>
      </c>
      <c r="K30" s="127">
        <f t="shared" si="0"/>
        <v>30.98</v>
      </c>
      <c r="L30" s="128">
        <f>VLOOKUP($G30,'Leistungswerte GR Schulen'!$C$6:$F$53,4,FALSE)</f>
        <v>0</v>
      </c>
      <c r="M30" s="129">
        <f t="shared" si="5"/>
        <v>0</v>
      </c>
      <c r="N30" s="129">
        <f t="shared" si="1"/>
        <v>0</v>
      </c>
      <c r="O30" s="547">
        <f t="shared" si="6"/>
        <v>0</v>
      </c>
      <c r="P30" s="130">
        <f t="shared" si="2"/>
        <v>0</v>
      </c>
      <c r="Q30" s="131">
        <f t="shared" si="3"/>
        <v>0</v>
      </c>
      <c r="R30" s="578">
        <f t="shared" si="7"/>
        <v>1</v>
      </c>
    </row>
    <row r="31" spans="1:18" s="57" customFormat="1" ht="24.9" customHeight="1" x14ac:dyDescent="0.25">
      <c r="A31" s="470" t="str">
        <f>'Kalk UHR GS Deisenhofen'!A31</f>
        <v>Schule</v>
      </c>
      <c r="B31" s="302" t="str">
        <f>'Kalk UHR GS Deisenhofen'!B31</f>
        <v>OG</v>
      </c>
      <c r="C31" s="302" t="str">
        <f>'Kalk UHR GS Deisenhofen'!C31</f>
        <v>1.C.18</v>
      </c>
      <c r="D31" s="302" t="str">
        <f>'Kalk UHR GS Deisenhofen'!D31</f>
        <v>Garderobe</v>
      </c>
      <c r="E31" s="302" t="str">
        <f>'Kalk UHR GS Deisenhofen'!E31</f>
        <v>Linoleum</v>
      </c>
      <c r="F31" s="469" t="str">
        <f>'Kalk UHR GS Deisenhofen'!F31</f>
        <v>H1-W3</v>
      </c>
      <c r="G31" s="228" t="str">
        <f t="shared" si="4"/>
        <v>H1-J0,5</v>
      </c>
      <c r="H31" s="127">
        <f>'Kalk UHR GS Deisenhofen'!G31</f>
        <v>11.66</v>
      </c>
      <c r="I31" s="97" t="s">
        <v>909</v>
      </c>
      <c r="J31" s="328">
        <f>VLOOKUP(I31,Turnus!$D$9:$E$26,2,FALSE)</f>
        <v>0.5</v>
      </c>
      <c r="K31" s="127">
        <f t="shared" si="0"/>
        <v>5.83</v>
      </c>
      <c r="L31" s="128">
        <f>VLOOKUP($G31,'Leistungswerte GR Schulen'!$C$6:$F$53,4,FALSE)</f>
        <v>0</v>
      </c>
      <c r="M31" s="129">
        <f t="shared" si="5"/>
        <v>0</v>
      </c>
      <c r="N31" s="129">
        <f t="shared" si="1"/>
        <v>0</v>
      </c>
      <c r="O31" s="547">
        <f t="shared" si="6"/>
        <v>0</v>
      </c>
      <c r="P31" s="130">
        <f t="shared" si="2"/>
        <v>0</v>
      </c>
      <c r="Q31" s="131">
        <f t="shared" si="3"/>
        <v>0</v>
      </c>
      <c r="R31" s="578">
        <f t="shared" si="7"/>
        <v>1</v>
      </c>
    </row>
    <row r="32" spans="1:18" s="57" customFormat="1" ht="24.9" customHeight="1" x14ac:dyDescent="0.25">
      <c r="A32" s="470" t="str">
        <f>'Kalk UHR GS Deisenhofen'!A32</f>
        <v>Schule</v>
      </c>
      <c r="B32" s="302" t="str">
        <f>'Kalk UHR GS Deisenhofen'!B32</f>
        <v>OG</v>
      </c>
      <c r="C32" s="302" t="str">
        <f>'Kalk UHR GS Deisenhofen'!C32</f>
        <v>1.C.19</v>
      </c>
      <c r="D32" s="302" t="str">
        <f>'Kalk UHR GS Deisenhofen'!D32</f>
        <v>Klassenraum 11</v>
      </c>
      <c r="E32" s="302" t="str">
        <f>'Kalk UHR GS Deisenhofen'!E32</f>
        <v>Linoleum</v>
      </c>
      <c r="F32" s="469" t="str">
        <f>'Kalk UHR GS Deisenhofen'!F32</f>
        <v>U1-W3</v>
      </c>
      <c r="G32" s="228" t="str">
        <f t="shared" si="4"/>
        <v>U1-J0,5</v>
      </c>
      <c r="H32" s="127">
        <f>'Kalk UHR GS Deisenhofen'!G32</f>
        <v>69.63</v>
      </c>
      <c r="I32" s="97" t="s">
        <v>909</v>
      </c>
      <c r="J32" s="328">
        <f>VLOOKUP(I32,Turnus!$D$9:$E$26,2,FALSE)</f>
        <v>0.5</v>
      </c>
      <c r="K32" s="127">
        <f t="shared" si="0"/>
        <v>34.814999999999998</v>
      </c>
      <c r="L32" s="128">
        <f>VLOOKUP($G32,'Leistungswerte GR Schulen'!$C$6:$F$53,4,FALSE)</f>
        <v>0</v>
      </c>
      <c r="M32" s="129">
        <f t="shared" si="5"/>
        <v>0</v>
      </c>
      <c r="N32" s="129">
        <f t="shared" si="1"/>
        <v>0</v>
      </c>
      <c r="O32" s="547">
        <f t="shared" si="6"/>
        <v>0</v>
      </c>
      <c r="P32" s="130">
        <f t="shared" si="2"/>
        <v>0</v>
      </c>
      <c r="Q32" s="131">
        <f t="shared" si="3"/>
        <v>0</v>
      </c>
      <c r="R32" s="578">
        <f t="shared" si="7"/>
        <v>1</v>
      </c>
    </row>
    <row r="33" spans="1:18" s="57" customFormat="1" ht="24.9" customHeight="1" x14ac:dyDescent="0.25">
      <c r="A33" s="470" t="str">
        <f>'Kalk UHR GS Deisenhofen'!A33</f>
        <v>Schule</v>
      </c>
      <c r="B33" s="302" t="str">
        <f>'Kalk UHR GS Deisenhofen'!B33</f>
        <v>OG</v>
      </c>
      <c r="C33" s="302" t="str">
        <f>'Kalk UHR GS Deisenhofen'!C33</f>
        <v>1.C.20</v>
      </c>
      <c r="D33" s="302" t="str">
        <f>'Kalk UHR GS Deisenhofen'!D33</f>
        <v>Gruppenraum</v>
      </c>
      <c r="E33" s="302" t="str">
        <f>'Kalk UHR GS Deisenhofen'!E33</f>
        <v>Linoleum</v>
      </c>
      <c r="F33" s="469" t="str">
        <f>'Kalk UHR GS Deisenhofen'!F33</f>
        <v>G1-W3</v>
      </c>
      <c r="G33" s="228" t="str">
        <f t="shared" si="4"/>
        <v>G1-J0,5</v>
      </c>
      <c r="H33" s="127">
        <f>'Kalk UHR GS Deisenhofen'!G33</f>
        <v>27.22</v>
      </c>
      <c r="I33" s="97" t="s">
        <v>909</v>
      </c>
      <c r="J33" s="328">
        <f>VLOOKUP(I33,Turnus!$D$9:$E$26,2,FALSE)</f>
        <v>0.5</v>
      </c>
      <c r="K33" s="127">
        <f t="shared" si="0"/>
        <v>13.61</v>
      </c>
      <c r="L33" s="128">
        <f>VLOOKUP($G33,'Leistungswerte GR Schulen'!$C$6:$F$53,4,FALSE)</f>
        <v>0</v>
      </c>
      <c r="M33" s="129">
        <f t="shared" si="5"/>
        <v>0</v>
      </c>
      <c r="N33" s="129">
        <f t="shared" si="1"/>
        <v>0</v>
      </c>
      <c r="O33" s="547">
        <f t="shared" si="6"/>
        <v>0</v>
      </c>
      <c r="P33" s="130">
        <f t="shared" si="2"/>
        <v>0</v>
      </c>
      <c r="Q33" s="131">
        <f t="shared" si="3"/>
        <v>0</v>
      </c>
      <c r="R33" s="578">
        <f t="shared" si="7"/>
        <v>1</v>
      </c>
    </row>
    <row r="34" spans="1:18" s="57" customFormat="1" ht="24.9" customHeight="1" x14ac:dyDescent="0.25">
      <c r="A34" s="470" t="str">
        <f>'Kalk UHR GS Deisenhofen'!A34</f>
        <v>Schule</v>
      </c>
      <c r="B34" s="302" t="str">
        <f>'Kalk UHR GS Deisenhofen'!B34</f>
        <v>OG</v>
      </c>
      <c r="C34" s="302" t="str">
        <f>'Kalk UHR GS Deisenhofen'!C34</f>
        <v>1.C.21</v>
      </c>
      <c r="D34" s="302" t="str">
        <f>'Kalk UHR GS Deisenhofen'!D34</f>
        <v>Klassenraum 12</v>
      </c>
      <c r="E34" s="302" t="str">
        <f>'Kalk UHR GS Deisenhofen'!E34</f>
        <v>Linoleum</v>
      </c>
      <c r="F34" s="469" t="str">
        <f>'Kalk UHR GS Deisenhofen'!F34</f>
        <v>U1-W3</v>
      </c>
      <c r="G34" s="228" t="str">
        <f t="shared" si="4"/>
        <v>U1-J0,5</v>
      </c>
      <c r="H34" s="127">
        <f>'Kalk UHR GS Deisenhofen'!G34</f>
        <v>69.63</v>
      </c>
      <c r="I34" s="97" t="s">
        <v>909</v>
      </c>
      <c r="J34" s="328">
        <f>VLOOKUP(I34,Turnus!$D$9:$E$26,2,FALSE)</f>
        <v>0.5</v>
      </c>
      <c r="K34" s="127">
        <f t="shared" si="0"/>
        <v>34.814999999999998</v>
      </c>
      <c r="L34" s="128">
        <f>VLOOKUP($G34,'Leistungswerte GR Schulen'!$C$6:$F$53,4,FALSE)</f>
        <v>0</v>
      </c>
      <c r="M34" s="129">
        <f t="shared" si="5"/>
        <v>0</v>
      </c>
      <c r="N34" s="129">
        <f t="shared" si="1"/>
        <v>0</v>
      </c>
      <c r="O34" s="547">
        <f t="shared" si="6"/>
        <v>0</v>
      </c>
      <c r="P34" s="130">
        <f t="shared" si="2"/>
        <v>0</v>
      </c>
      <c r="Q34" s="131">
        <f t="shared" si="3"/>
        <v>0</v>
      </c>
      <c r="R34" s="578">
        <f t="shared" si="7"/>
        <v>1</v>
      </c>
    </row>
    <row r="35" spans="1:18" s="57" customFormat="1" ht="24.9" customHeight="1" x14ac:dyDescent="0.25">
      <c r="A35" s="470" t="str">
        <f>'Kalk UHR GS Deisenhofen'!A35</f>
        <v>Schule</v>
      </c>
      <c r="B35" s="302" t="str">
        <f>'Kalk UHR GS Deisenhofen'!B35</f>
        <v>OG</v>
      </c>
      <c r="C35" s="302" t="str">
        <f>'Kalk UHR GS Deisenhofen'!C35</f>
        <v>1.C.22</v>
      </c>
      <c r="D35" s="302" t="str">
        <f>'Kalk UHR GS Deisenhofen'!D35</f>
        <v>Garderobe</v>
      </c>
      <c r="E35" s="302" t="str">
        <f>'Kalk UHR GS Deisenhofen'!E35</f>
        <v>Linoleum</v>
      </c>
      <c r="F35" s="469" t="str">
        <f>'Kalk UHR GS Deisenhofen'!F35</f>
        <v>H1-W3</v>
      </c>
      <c r="G35" s="228" t="str">
        <f t="shared" si="4"/>
        <v>H1-J0,5</v>
      </c>
      <c r="H35" s="127">
        <f>'Kalk UHR GS Deisenhofen'!G35</f>
        <v>11.66</v>
      </c>
      <c r="I35" s="97" t="s">
        <v>909</v>
      </c>
      <c r="J35" s="328">
        <f>VLOOKUP(I35,Turnus!$D$9:$E$26,2,FALSE)</f>
        <v>0.5</v>
      </c>
      <c r="K35" s="127">
        <f t="shared" si="0"/>
        <v>5.83</v>
      </c>
      <c r="L35" s="128">
        <f>VLOOKUP($G35,'Leistungswerte GR Schulen'!$C$6:$F$53,4,FALSE)</f>
        <v>0</v>
      </c>
      <c r="M35" s="129">
        <f t="shared" si="5"/>
        <v>0</v>
      </c>
      <c r="N35" s="129">
        <f t="shared" si="1"/>
        <v>0</v>
      </c>
      <c r="O35" s="547">
        <f t="shared" si="6"/>
        <v>0</v>
      </c>
      <c r="P35" s="130">
        <f t="shared" si="2"/>
        <v>0</v>
      </c>
      <c r="Q35" s="131">
        <f t="shared" si="3"/>
        <v>0</v>
      </c>
      <c r="R35" s="578">
        <f t="shared" si="7"/>
        <v>1</v>
      </c>
    </row>
    <row r="36" spans="1:18" s="57" customFormat="1" ht="24.9" customHeight="1" x14ac:dyDescent="0.25">
      <c r="A36" s="470" t="str">
        <f>'Kalk UHR GS Deisenhofen'!A36</f>
        <v>Schule</v>
      </c>
      <c r="B36" s="302" t="str">
        <f>'Kalk UHR GS Deisenhofen'!B36</f>
        <v>OG</v>
      </c>
      <c r="C36" s="302" t="str">
        <f>'Kalk UHR GS Deisenhofen'!C36</f>
        <v>1.C.F.04</v>
      </c>
      <c r="D36" s="302" t="str">
        <f>'Kalk UHR GS Deisenhofen'!D36</f>
        <v>Flur</v>
      </c>
      <c r="E36" s="302" t="str">
        <f>'Kalk UHR GS Deisenhofen'!E36</f>
        <v>Linoleum</v>
      </c>
      <c r="F36" s="469" t="str">
        <f>'Kalk UHR GS Deisenhofen'!F36</f>
        <v>F1-W5</v>
      </c>
      <c r="G36" s="228" t="str">
        <f t="shared" si="4"/>
        <v>F1-J0,5</v>
      </c>
      <c r="H36" s="127">
        <f>'Kalk UHR GS Deisenhofen'!G36</f>
        <v>70.040000000000006</v>
      </c>
      <c r="I36" s="97" t="s">
        <v>909</v>
      </c>
      <c r="J36" s="328">
        <f>VLOOKUP(I36,Turnus!$D$9:$E$26,2,FALSE)</f>
        <v>0.5</v>
      </c>
      <c r="K36" s="127">
        <f t="shared" si="0"/>
        <v>35.020000000000003</v>
      </c>
      <c r="L36" s="128">
        <f>VLOOKUP($G36,'Leistungswerte GR Schulen'!$C$6:$F$53,4,FALSE)</f>
        <v>0</v>
      </c>
      <c r="M36" s="129">
        <f t="shared" si="5"/>
        <v>0</v>
      </c>
      <c r="N36" s="129">
        <f t="shared" si="1"/>
        <v>0</v>
      </c>
      <c r="O36" s="547">
        <f t="shared" si="6"/>
        <v>0</v>
      </c>
      <c r="P36" s="130">
        <f t="shared" si="2"/>
        <v>0</v>
      </c>
      <c r="Q36" s="131">
        <f t="shared" si="3"/>
        <v>0</v>
      </c>
      <c r="R36" s="578">
        <f t="shared" si="7"/>
        <v>1</v>
      </c>
    </row>
    <row r="37" spans="1:18" s="57" customFormat="1" ht="24.9" customHeight="1" x14ac:dyDescent="0.25">
      <c r="A37" s="470" t="str">
        <f>'Kalk UHR GS Deisenhofen'!A37</f>
        <v>Schule</v>
      </c>
      <c r="B37" s="302" t="str">
        <f>'Kalk UHR GS Deisenhofen'!B37</f>
        <v>OG</v>
      </c>
      <c r="C37" s="302" t="str">
        <f>'Kalk UHR GS Deisenhofen'!C37</f>
        <v>1.C.T.03</v>
      </c>
      <c r="D37" s="302" t="str">
        <f>'Kalk UHR GS Deisenhofen'!D37</f>
        <v>Treppe</v>
      </c>
      <c r="E37" s="302" t="str">
        <f>'Kalk UHR GS Deisenhofen'!E37</f>
        <v>Naturstein</v>
      </c>
      <c r="F37" s="469" t="str">
        <f>'Kalk UHR GS Deisenhofen'!F37</f>
        <v>F3-W5</v>
      </c>
      <c r="G37" s="228" t="str">
        <f t="shared" si="4"/>
        <v>F3-J0,5</v>
      </c>
      <c r="H37" s="127">
        <f>'Kalk UHR GS Deisenhofen'!G37</f>
        <v>17.02</v>
      </c>
      <c r="I37" s="97" t="s">
        <v>909</v>
      </c>
      <c r="J37" s="328">
        <f>VLOOKUP(I37,Turnus!$D$9:$E$26,2,FALSE)</f>
        <v>0.5</v>
      </c>
      <c r="K37" s="127">
        <f t="shared" si="0"/>
        <v>8.51</v>
      </c>
      <c r="L37" s="128">
        <f>VLOOKUP($G37,'Leistungswerte GR Schulen'!$C$6:$F$53,4,FALSE)</f>
        <v>0</v>
      </c>
      <c r="M37" s="129">
        <f t="shared" si="5"/>
        <v>0</v>
      </c>
      <c r="N37" s="129">
        <f t="shared" si="1"/>
        <v>0</v>
      </c>
      <c r="O37" s="547">
        <f t="shared" si="6"/>
        <v>0</v>
      </c>
      <c r="P37" s="130">
        <f t="shared" si="2"/>
        <v>0</v>
      </c>
      <c r="Q37" s="131">
        <f t="shared" si="3"/>
        <v>0</v>
      </c>
      <c r="R37" s="578">
        <f t="shared" si="7"/>
        <v>1</v>
      </c>
    </row>
    <row r="38" spans="1:18" s="57" customFormat="1" ht="24.9" customHeight="1" x14ac:dyDescent="0.25">
      <c r="A38" s="470" t="str">
        <f>'Kalk UHR GS Deisenhofen'!A38</f>
        <v>Schule</v>
      </c>
      <c r="B38" s="302" t="str">
        <f>'Kalk UHR GS Deisenhofen'!B38</f>
        <v>OG</v>
      </c>
      <c r="C38" s="302" t="str">
        <f>'Kalk UHR GS Deisenhofen'!C38</f>
        <v>1.C.23</v>
      </c>
      <c r="D38" s="302" t="str">
        <f>'Kalk UHR GS Deisenhofen'!D38</f>
        <v>Abstellraum</v>
      </c>
      <c r="E38" s="302" t="str">
        <f>'Kalk UHR GS Deisenhofen'!E38</f>
        <v>Linoleum</v>
      </c>
      <c r="F38" s="469" t="str">
        <f>'Kalk UHR GS Deisenhofen'!F38</f>
        <v>Z-kR</v>
      </c>
      <c r="G38" s="228" t="str">
        <f t="shared" si="4"/>
        <v>Z--kR</v>
      </c>
      <c r="H38" s="127">
        <f>'Kalk UHR GS Deisenhofen'!G38</f>
        <v>12.02</v>
      </c>
      <c r="I38" s="97" t="s">
        <v>68</v>
      </c>
      <c r="J38" s="328">
        <f>VLOOKUP(I38,Turnus!$D$9:$E$26,2,FALSE)</f>
        <v>0</v>
      </c>
      <c r="K38" s="127">
        <f t="shared" si="0"/>
        <v>0</v>
      </c>
      <c r="L38" s="128">
        <f>VLOOKUP($G38,'Leistungswerte GR Schulen'!$C$6:$F$53,4,FALSE)</f>
        <v>0</v>
      </c>
      <c r="M38" s="129">
        <f t="shared" si="5"/>
        <v>0</v>
      </c>
      <c r="N38" s="129">
        <f t="shared" si="1"/>
        <v>0</v>
      </c>
      <c r="O38" s="547">
        <f t="shared" si="6"/>
        <v>0</v>
      </c>
      <c r="P38" s="130">
        <f t="shared" si="2"/>
        <v>0</v>
      </c>
      <c r="Q38" s="131">
        <f t="shared" si="3"/>
        <v>0</v>
      </c>
      <c r="R38" s="578">
        <f t="shared" si="7"/>
        <v>1</v>
      </c>
    </row>
    <row r="39" spans="1:18" s="57" customFormat="1" ht="24.9" customHeight="1" x14ac:dyDescent="0.25">
      <c r="A39" s="470" t="str">
        <f>'Kalk UHR GS Deisenhofen'!A39</f>
        <v>Schule</v>
      </c>
      <c r="B39" s="302" t="str">
        <f>'Kalk UHR GS Deisenhofen'!B39</f>
        <v>OG</v>
      </c>
      <c r="C39" s="302" t="str">
        <f>'Kalk UHR GS Deisenhofen'!C39</f>
        <v>1.C.24</v>
      </c>
      <c r="D39" s="302" t="str">
        <f>'Kalk UHR GS Deisenhofen'!D39</f>
        <v>Informatik</v>
      </c>
      <c r="E39" s="302" t="str">
        <f>'Kalk UHR GS Deisenhofen'!E39</f>
        <v>Linoleum</v>
      </c>
      <c r="F39" s="469" t="str">
        <f>'Kalk UHR GS Deisenhofen'!F39</f>
        <v>U2-W3</v>
      </c>
      <c r="G39" s="228" t="str">
        <f t="shared" si="4"/>
        <v>U2-J0,5</v>
      </c>
      <c r="H39" s="127">
        <f>'Kalk UHR GS Deisenhofen'!G39</f>
        <v>70.44</v>
      </c>
      <c r="I39" s="97" t="s">
        <v>909</v>
      </c>
      <c r="J39" s="328">
        <f>VLOOKUP(I39,Turnus!$D$9:$E$26,2,FALSE)</f>
        <v>0.5</v>
      </c>
      <c r="K39" s="127">
        <f t="shared" si="0"/>
        <v>35.22</v>
      </c>
      <c r="L39" s="128">
        <f>VLOOKUP($G39,'Leistungswerte GR Schulen'!$C$6:$F$53,4,FALSE)</f>
        <v>0</v>
      </c>
      <c r="M39" s="129">
        <f t="shared" si="5"/>
        <v>0</v>
      </c>
      <c r="N39" s="129">
        <f t="shared" si="1"/>
        <v>0</v>
      </c>
      <c r="O39" s="547">
        <f t="shared" si="6"/>
        <v>0</v>
      </c>
      <c r="P39" s="130">
        <f t="shared" si="2"/>
        <v>0</v>
      </c>
      <c r="Q39" s="131">
        <f t="shared" si="3"/>
        <v>0</v>
      </c>
      <c r="R39" s="578">
        <f t="shared" si="7"/>
        <v>1</v>
      </c>
    </row>
    <row r="40" spans="1:18" s="57" customFormat="1" ht="24.9" customHeight="1" x14ac:dyDescent="0.25">
      <c r="A40" s="470" t="str">
        <f>'Kalk UHR GS Deisenhofen'!A40</f>
        <v>Schule</v>
      </c>
      <c r="B40" s="302" t="str">
        <f>'Kalk UHR GS Deisenhofen'!B40</f>
        <v>OG</v>
      </c>
      <c r="C40" s="302" t="str">
        <f>'Kalk UHR GS Deisenhofen'!C40</f>
        <v>1.C.F.05</v>
      </c>
      <c r="D40" s="302" t="str">
        <f>'Kalk UHR GS Deisenhofen'!D40</f>
        <v>Flur</v>
      </c>
      <c r="E40" s="302" t="str">
        <f>'Kalk UHR GS Deisenhofen'!E40</f>
        <v>Linoleum</v>
      </c>
      <c r="F40" s="469" t="str">
        <f>'Kalk UHR GS Deisenhofen'!F40</f>
        <v>F1-W5</v>
      </c>
      <c r="G40" s="228" t="str">
        <f t="shared" si="4"/>
        <v>F1-J0,5</v>
      </c>
      <c r="H40" s="127">
        <f>'Kalk UHR GS Deisenhofen'!G40</f>
        <v>25.02</v>
      </c>
      <c r="I40" s="97" t="s">
        <v>909</v>
      </c>
      <c r="J40" s="328">
        <f>VLOOKUP(I40,Turnus!$D$9:$E$26,2,FALSE)</f>
        <v>0.5</v>
      </c>
      <c r="K40" s="127">
        <f t="shared" si="0"/>
        <v>12.51</v>
      </c>
      <c r="L40" s="128">
        <f>VLOOKUP($G40,'Leistungswerte GR Schulen'!$C$6:$F$53,4,FALSE)</f>
        <v>0</v>
      </c>
      <c r="M40" s="129">
        <f t="shared" si="5"/>
        <v>0</v>
      </c>
      <c r="N40" s="129">
        <f t="shared" si="1"/>
        <v>0</v>
      </c>
      <c r="O40" s="547">
        <f t="shared" si="6"/>
        <v>0</v>
      </c>
      <c r="P40" s="130">
        <f t="shared" si="2"/>
        <v>0</v>
      </c>
      <c r="Q40" s="131">
        <f t="shared" si="3"/>
        <v>0</v>
      </c>
      <c r="R40" s="578">
        <f t="shared" si="7"/>
        <v>1</v>
      </c>
    </row>
    <row r="41" spans="1:18" s="57" customFormat="1" ht="24.9" customHeight="1" x14ac:dyDescent="0.25">
      <c r="A41" s="470" t="str">
        <f>'Kalk UHR GS Deisenhofen'!A41</f>
        <v>Schule</v>
      </c>
      <c r="B41" s="302" t="str">
        <f>'Kalk UHR GS Deisenhofen'!B41</f>
        <v>OG</v>
      </c>
      <c r="C41" s="302" t="str">
        <f>'Kalk UHR GS Deisenhofen'!C41</f>
        <v>1.C.25</v>
      </c>
      <c r="D41" s="302" t="str">
        <f>'Kalk UHR GS Deisenhofen'!D41</f>
        <v>Garderobe</v>
      </c>
      <c r="E41" s="302" t="str">
        <f>'Kalk UHR GS Deisenhofen'!E41</f>
        <v>Linoleum</v>
      </c>
      <c r="F41" s="469" t="str">
        <f>'Kalk UHR GS Deisenhofen'!F41</f>
        <v>H1-W3</v>
      </c>
      <c r="G41" s="228" t="str">
        <f t="shared" si="4"/>
        <v>H1-J0,5</v>
      </c>
      <c r="H41" s="127">
        <f>'Kalk UHR GS Deisenhofen'!G41</f>
        <v>11.66</v>
      </c>
      <c r="I41" s="97" t="s">
        <v>909</v>
      </c>
      <c r="J41" s="328">
        <f>VLOOKUP(I41,Turnus!$D$9:$E$26,2,FALSE)</f>
        <v>0.5</v>
      </c>
      <c r="K41" s="127">
        <f t="shared" si="0"/>
        <v>5.83</v>
      </c>
      <c r="L41" s="128">
        <f>VLOOKUP($G41,'Leistungswerte GR Schulen'!$C$6:$F$53,4,FALSE)</f>
        <v>0</v>
      </c>
      <c r="M41" s="129">
        <f t="shared" si="5"/>
        <v>0</v>
      </c>
      <c r="N41" s="129">
        <f t="shared" si="1"/>
        <v>0</v>
      </c>
      <c r="O41" s="547">
        <f t="shared" si="6"/>
        <v>0</v>
      </c>
      <c r="P41" s="130">
        <f t="shared" si="2"/>
        <v>0</v>
      </c>
      <c r="Q41" s="131">
        <f t="shared" si="3"/>
        <v>0</v>
      </c>
      <c r="R41" s="578">
        <f t="shared" si="7"/>
        <v>1</v>
      </c>
    </row>
    <row r="42" spans="1:18" s="57" customFormat="1" ht="24.9" customHeight="1" x14ac:dyDescent="0.25">
      <c r="A42" s="470" t="str">
        <f>'Kalk UHR GS Deisenhofen'!A42</f>
        <v>Schule</v>
      </c>
      <c r="B42" s="302" t="str">
        <f>'Kalk UHR GS Deisenhofen'!B42</f>
        <v>OG</v>
      </c>
      <c r="C42" s="302" t="str">
        <f>'Kalk UHR GS Deisenhofen'!C42</f>
        <v>1.C.26</v>
      </c>
      <c r="D42" s="302" t="str">
        <f>'Kalk UHR GS Deisenhofen'!D42</f>
        <v>Klassenraum 13</v>
      </c>
      <c r="E42" s="302" t="str">
        <f>'Kalk UHR GS Deisenhofen'!E42</f>
        <v>Linoleum</v>
      </c>
      <c r="F42" s="469" t="str">
        <f>'Kalk UHR GS Deisenhofen'!F42</f>
        <v>U1-W3</v>
      </c>
      <c r="G42" s="228" t="str">
        <f t="shared" si="4"/>
        <v>U1-J0,5</v>
      </c>
      <c r="H42" s="127">
        <f>'Kalk UHR GS Deisenhofen'!G42</f>
        <v>69.63</v>
      </c>
      <c r="I42" s="97" t="s">
        <v>909</v>
      </c>
      <c r="J42" s="328">
        <f>VLOOKUP(I42,Turnus!$D$9:$E$26,2,FALSE)</f>
        <v>0.5</v>
      </c>
      <c r="K42" s="127">
        <f t="shared" si="0"/>
        <v>34.814999999999998</v>
      </c>
      <c r="L42" s="128">
        <f>VLOOKUP($G42,'Leistungswerte GR Schulen'!$C$6:$F$53,4,FALSE)</f>
        <v>0</v>
      </c>
      <c r="M42" s="129">
        <f t="shared" si="5"/>
        <v>0</v>
      </c>
      <c r="N42" s="129">
        <f t="shared" si="1"/>
        <v>0</v>
      </c>
      <c r="O42" s="547">
        <f t="shared" si="6"/>
        <v>0</v>
      </c>
      <c r="P42" s="130">
        <f t="shared" si="2"/>
        <v>0</v>
      </c>
      <c r="Q42" s="131">
        <f t="shared" si="3"/>
        <v>0</v>
      </c>
      <c r="R42" s="578">
        <f t="shared" si="7"/>
        <v>1</v>
      </c>
    </row>
    <row r="43" spans="1:18" s="57" customFormat="1" ht="24.9" customHeight="1" x14ac:dyDescent="0.25">
      <c r="A43" s="470" t="str">
        <f>'Kalk UHR GS Deisenhofen'!A43</f>
        <v>Schule</v>
      </c>
      <c r="B43" s="302" t="str">
        <f>'Kalk UHR GS Deisenhofen'!B43</f>
        <v>OG</v>
      </c>
      <c r="C43" s="302" t="str">
        <f>'Kalk UHR GS Deisenhofen'!C43</f>
        <v>1.C.27</v>
      </c>
      <c r="D43" s="302" t="str">
        <f>'Kalk UHR GS Deisenhofen'!D43</f>
        <v>Gruppenraum</v>
      </c>
      <c r="E43" s="302" t="str">
        <f>'Kalk UHR GS Deisenhofen'!E43</f>
        <v>Linoleum</v>
      </c>
      <c r="F43" s="469" t="str">
        <f>'Kalk UHR GS Deisenhofen'!F43</f>
        <v>G1-W3</v>
      </c>
      <c r="G43" s="228" t="str">
        <f t="shared" si="4"/>
        <v>G1-J0,5</v>
      </c>
      <c r="H43" s="127">
        <f>'Kalk UHR GS Deisenhofen'!G43</f>
        <v>27.22</v>
      </c>
      <c r="I43" s="97" t="s">
        <v>909</v>
      </c>
      <c r="J43" s="328">
        <f>VLOOKUP(I43,Turnus!$D$9:$E$26,2,FALSE)</f>
        <v>0.5</v>
      </c>
      <c r="K43" s="127">
        <f t="shared" si="0"/>
        <v>13.61</v>
      </c>
      <c r="L43" s="128">
        <f>VLOOKUP($G43,'Leistungswerte GR Schulen'!$C$6:$F$53,4,FALSE)</f>
        <v>0</v>
      </c>
      <c r="M43" s="129">
        <f t="shared" si="5"/>
        <v>0</v>
      </c>
      <c r="N43" s="129">
        <f t="shared" si="1"/>
        <v>0</v>
      </c>
      <c r="O43" s="547">
        <f t="shared" si="6"/>
        <v>0</v>
      </c>
      <c r="P43" s="130">
        <f t="shared" si="2"/>
        <v>0</v>
      </c>
      <c r="Q43" s="131">
        <f t="shared" si="3"/>
        <v>0</v>
      </c>
      <c r="R43" s="578">
        <f t="shared" si="7"/>
        <v>1</v>
      </c>
    </row>
    <row r="44" spans="1:18" s="57" customFormat="1" ht="24.9" customHeight="1" x14ac:dyDescent="0.25">
      <c r="A44" s="470" t="str">
        <f>'Kalk UHR GS Deisenhofen'!A44</f>
        <v>Schule</v>
      </c>
      <c r="B44" s="302" t="str">
        <f>'Kalk UHR GS Deisenhofen'!B44</f>
        <v>OG</v>
      </c>
      <c r="C44" s="302" t="str">
        <f>'Kalk UHR GS Deisenhofen'!C44</f>
        <v>1.C.28</v>
      </c>
      <c r="D44" s="302" t="str">
        <f>'Kalk UHR GS Deisenhofen'!D44</f>
        <v>Klassenraum 14</v>
      </c>
      <c r="E44" s="302" t="str">
        <f>'Kalk UHR GS Deisenhofen'!E44</f>
        <v>Linoleum</v>
      </c>
      <c r="F44" s="469" t="str">
        <f>'Kalk UHR GS Deisenhofen'!F44</f>
        <v>U1-W3</v>
      </c>
      <c r="G44" s="228" t="str">
        <f t="shared" si="4"/>
        <v>U1-J0,5</v>
      </c>
      <c r="H44" s="127">
        <f>'Kalk UHR GS Deisenhofen'!G44</f>
        <v>69.63</v>
      </c>
      <c r="I44" s="97" t="s">
        <v>909</v>
      </c>
      <c r="J44" s="328">
        <f>VLOOKUP(I44,Turnus!$D$9:$E$26,2,FALSE)</f>
        <v>0.5</v>
      </c>
      <c r="K44" s="127">
        <f t="shared" si="0"/>
        <v>34.814999999999998</v>
      </c>
      <c r="L44" s="128">
        <f>VLOOKUP($G44,'Leistungswerte GR Schulen'!$C$6:$F$53,4,FALSE)</f>
        <v>0</v>
      </c>
      <c r="M44" s="129">
        <f t="shared" si="5"/>
        <v>0</v>
      </c>
      <c r="N44" s="129">
        <f t="shared" si="1"/>
        <v>0</v>
      </c>
      <c r="O44" s="547">
        <f t="shared" si="6"/>
        <v>0</v>
      </c>
      <c r="P44" s="130">
        <f t="shared" si="2"/>
        <v>0</v>
      </c>
      <c r="Q44" s="131">
        <f t="shared" si="3"/>
        <v>0</v>
      </c>
      <c r="R44" s="578">
        <f t="shared" si="7"/>
        <v>1</v>
      </c>
    </row>
    <row r="45" spans="1:18" s="57" customFormat="1" ht="24.9" customHeight="1" x14ac:dyDescent="0.25">
      <c r="A45" s="470" t="str">
        <f>'Kalk UHR GS Deisenhofen'!A45</f>
        <v>Schule</v>
      </c>
      <c r="B45" s="302" t="str">
        <f>'Kalk UHR GS Deisenhofen'!B45</f>
        <v>OG</v>
      </c>
      <c r="C45" s="302" t="str">
        <f>'Kalk UHR GS Deisenhofen'!C45</f>
        <v>1.C.29</v>
      </c>
      <c r="D45" s="302" t="str">
        <f>'Kalk UHR GS Deisenhofen'!D45</f>
        <v>Garderobe</v>
      </c>
      <c r="E45" s="302" t="str">
        <f>'Kalk UHR GS Deisenhofen'!E45</f>
        <v>Linoleum</v>
      </c>
      <c r="F45" s="469" t="str">
        <f>'Kalk UHR GS Deisenhofen'!F45</f>
        <v>H1-W3</v>
      </c>
      <c r="G45" s="228" t="str">
        <f t="shared" si="4"/>
        <v>H1-J0,5</v>
      </c>
      <c r="H45" s="127">
        <f>'Kalk UHR GS Deisenhofen'!G45</f>
        <v>11.66</v>
      </c>
      <c r="I45" s="97" t="s">
        <v>909</v>
      </c>
      <c r="J45" s="328">
        <f>VLOOKUP(I45,Turnus!$D$9:$E$26,2,FALSE)</f>
        <v>0.5</v>
      </c>
      <c r="K45" s="127">
        <f t="shared" si="0"/>
        <v>5.83</v>
      </c>
      <c r="L45" s="128">
        <f>VLOOKUP($G45,'Leistungswerte GR Schulen'!$C$6:$F$53,4,FALSE)</f>
        <v>0</v>
      </c>
      <c r="M45" s="129">
        <f t="shared" si="5"/>
        <v>0</v>
      </c>
      <c r="N45" s="129">
        <f t="shared" si="1"/>
        <v>0</v>
      </c>
      <c r="O45" s="547">
        <f t="shared" si="6"/>
        <v>0</v>
      </c>
      <c r="P45" s="130">
        <f t="shared" si="2"/>
        <v>0</v>
      </c>
      <c r="Q45" s="131">
        <f t="shared" si="3"/>
        <v>0</v>
      </c>
      <c r="R45" s="578">
        <f t="shared" si="7"/>
        <v>1</v>
      </c>
    </row>
    <row r="46" spans="1:18" s="57" customFormat="1" ht="24.9" customHeight="1" x14ac:dyDescent="0.25">
      <c r="A46" s="470" t="str">
        <f>'Kalk UHR GS Deisenhofen'!A46</f>
        <v>Schule</v>
      </c>
      <c r="B46" s="302" t="str">
        <f>'Kalk UHR GS Deisenhofen'!B46</f>
        <v>OG</v>
      </c>
      <c r="C46" s="302" t="str">
        <f>'Kalk UHR GS Deisenhofen'!C46</f>
        <v>1.C.F.06</v>
      </c>
      <c r="D46" s="302" t="str">
        <f>'Kalk UHR GS Deisenhofen'!D46</f>
        <v>Flur</v>
      </c>
      <c r="E46" s="302" t="str">
        <f>'Kalk UHR GS Deisenhofen'!E46</f>
        <v>Linoleum</v>
      </c>
      <c r="F46" s="469" t="str">
        <f>'Kalk UHR GS Deisenhofen'!F46</f>
        <v>F1-W5</v>
      </c>
      <c r="G46" s="228" t="str">
        <f t="shared" si="4"/>
        <v>F1-J0,5</v>
      </c>
      <c r="H46" s="127">
        <f>'Kalk UHR GS Deisenhofen'!G46</f>
        <v>82.64</v>
      </c>
      <c r="I46" s="97" t="s">
        <v>909</v>
      </c>
      <c r="J46" s="328">
        <f>VLOOKUP(I46,Turnus!$D$9:$E$26,2,FALSE)</f>
        <v>0.5</v>
      </c>
      <c r="K46" s="127">
        <f t="shared" si="0"/>
        <v>41.32</v>
      </c>
      <c r="L46" s="128">
        <f>VLOOKUP($G46,'Leistungswerte GR Schulen'!$C$6:$F$53,4,FALSE)</f>
        <v>0</v>
      </c>
      <c r="M46" s="129">
        <f t="shared" si="5"/>
        <v>0</v>
      </c>
      <c r="N46" s="129">
        <f t="shared" si="1"/>
        <v>0</v>
      </c>
      <c r="O46" s="547">
        <f t="shared" si="6"/>
        <v>0</v>
      </c>
      <c r="P46" s="130">
        <f t="shared" si="2"/>
        <v>0</v>
      </c>
      <c r="Q46" s="131">
        <f t="shared" si="3"/>
        <v>0</v>
      </c>
      <c r="R46" s="578">
        <f t="shared" si="7"/>
        <v>1</v>
      </c>
    </row>
    <row r="47" spans="1:18" s="57" customFormat="1" ht="24.9" customHeight="1" x14ac:dyDescent="0.25">
      <c r="A47" s="470" t="str">
        <f>'Kalk UHR GS Deisenhofen'!A47</f>
        <v>Schule</v>
      </c>
      <c r="B47" s="302" t="str">
        <f>'Kalk UHR GS Deisenhofen'!B47</f>
        <v>OG</v>
      </c>
      <c r="C47" s="302" t="str">
        <f>'Kalk UHR GS Deisenhofen'!C47</f>
        <v>1.C.T.05</v>
      </c>
      <c r="D47" s="302" t="str">
        <f>'Kalk UHR GS Deisenhofen'!D47</f>
        <v>Treppe aus Wohnung</v>
      </c>
      <c r="E47" s="302" t="str">
        <f>'Kalk UHR GS Deisenhofen'!E47</f>
        <v>Naturstein</v>
      </c>
      <c r="F47" s="469" t="str">
        <f>'Kalk UHR GS Deisenhofen'!F47</f>
        <v>Z-kR</v>
      </c>
      <c r="G47" s="228" t="str">
        <f t="shared" si="4"/>
        <v>Z--kR</v>
      </c>
      <c r="H47" s="127">
        <f>'Kalk UHR GS Deisenhofen'!G47</f>
        <v>28.44</v>
      </c>
      <c r="I47" s="97" t="s">
        <v>68</v>
      </c>
      <c r="J47" s="328">
        <f>VLOOKUP(I47,Turnus!$D$9:$E$26,2,FALSE)</f>
        <v>0</v>
      </c>
      <c r="K47" s="127">
        <f t="shared" si="0"/>
        <v>0</v>
      </c>
      <c r="L47" s="128">
        <f>VLOOKUP($G47,'Leistungswerte GR Schulen'!$C$6:$F$53,4,FALSE)</f>
        <v>0</v>
      </c>
      <c r="M47" s="129">
        <f t="shared" si="5"/>
        <v>0</v>
      </c>
      <c r="N47" s="129">
        <f t="shared" si="1"/>
        <v>0</v>
      </c>
      <c r="O47" s="547">
        <f t="shared" si="6"/>
        <v>0</v>
      </c>
      <c r="P47" s="130">
        <f t="shared" si="2"/>
        <v>0</v>
      </c>
      <c r="Q47" s="131">
        <f t="shared" si="3"/>
        <v>0</v>
      </c>
      <c r="R47" s="578">
        <f t="shared" si="7"/>
        <v>1</v>
      </c>
    </row>
    <row r="48" spans="1:18" s="57" customFormat="1" ht="24.9" customHeight="1" x14ac:dyDescent="0.25">
      <c r="A48" s="470" t="str">
        <f>'Kalk UHR GS Deisenhofen'!A48</f>
        <v>Schule</v>
      </c>
      <c r="B48" s="302" t="str">
        <f>'Kalk UHR GS Deisenhofen'!B48</f>
        <v>OG</v>
      </c>
      <c r="C48" s="302" t="str">
        <f>'Kalk UHR GS Deisenhofen'!C48</f>
        <v>1.C.30</v>
      </c>
      <c r="D48" s="302" t="str">
        <f>'Kalk UHR GS Deisenhofen'!D48</f>
        <v>Wohnung</v>
      </c>
      <c r="E48" s="302" t="str">
        <f>'Kalk UHR GS Deisenhofen'!E48</f>
        <v>diverse</v>
      </c>
      <c r="F48" s="469" t="str">
        <f>'Kalk UHR GS Deisenhofen'!F48</f>
        <v>Z-kR</v>
      </c>
      <c r="G48" s="228" t="str">
        <f t="shared" si="4"/>
        <v>Z--kR</v>
      </c>
      <c r="H48" s="127">
        <f>'Kalk UHR GS Deisenhofen'!G48</f>
        <v>0</v>
      </c>
      <c r="I48" s="97" t="s">
        <v>68</v>
      </c>
      <c r="J48" s="328">
        <f>VLOOKUP(I48,Turnus!$D$9:$E$26,2,FALSE)</f>
        <v>0</v>
      </c>
      <c r="K48" s="127">
        <f t="shared" si="0"/>
        <v>0</v>
      </c>
      <c r="L48" s="128">
        <f>VLOOKUP($G48,'Leistungswerte GR Schulen'!$C$6:$F$53,4,FALSE)</f>
        <v>0</v>
      </c>
      <c r="M48" s="129">
        <f t="shared" si="5"/>
        <v>0</v>
      </c>
      <c r="N48" s="129">
        <f t="shared" si="1"/>
        <v>0</v>
      </c>
      <c r="O48" s="547">
        <f t="shared" si="6"/>
        <v>0</v>
      </c>
      <c r="P48" s="130">
        <f t="shared" si="2"/>
        <v>0</v>
      </c>
      <c r="Q48" s="131">
        <f t="shared" si="3"/>
        <v>0</v>
      </c>
      <c r="R48" s="578">
        <f t="shared" si="7"/>
        <v>1</v>
      </c>
    </row>
    <row r="49" spans="1:18" s="57" customFormat="1" ht="24.9" customHeight="1" x14ac:dyDescent="0.25">
      <c r="A49" s="470" t="str">
        <f>'Kalk UHR GS Deisenhofen'!A49</f>
        <v>Schule</v>
      </c>
      <c r="B49" s="302" t="str">
        <f>'Kalk UHR GS Deisenhofen'!B49</f>
        <v>OG</v>
      </c>
      <c r="C49" s="302" t="str">
        <f>'Kalk UHR GS Deisenhofen'!C49</f>
        <v>1.C.31</v>
      </c>
      <c r="D49" s="302" t="str">
        <f>'Kalk UHR GS Deisenhofen'!D49</f>
        <v>ELT</v>
      </c>
      <c r="E49" s="302">
        <f>'Kalk UHR GS Deisenhofen'!E49</f>
        <v>0</v>
      </c>
      <c r="F49" s="469" t="str">
        <f>'Kalk UHR GS Deisenhofen'!F49</f>
        <v>Z-kR</v>
      </c>
      <c r="G49" s="228" t="str">
        <f t="shared" ref="G49:G112" si="8">CONCATENATE((LEFT(F49,2)),"-",I49)</f>
        <v>Z--kR</v>
      </c>
      <c r="H49" s="127">
        <f>'Kalk UHR GS Deisenhofen'!G49</f>
        <v>9.23</v>
      </c>
      <c r="I49" s="97" t="s">
        <v>68</v>
      </c>
      <c r="J49" s="328">
        <f>VLOOKUP(I49,Turnus!$D$9:$E$26,2,FALSE)</f>
        <v>0</v>
      </c>
      <c r="K49" s="127">
        <f t="shared" si="0"/>
        <v>0</v>
      </c>
      <c r="L49" s="128">
        <f>VLOOKUP($G49,'Leistungswerte GR Schulen'!$C$6:$F$53,4,FALSE)</f>
        <v>0</v>
      </c>
      <c r="M49" s="129">
        <f t="shared" si="5"/>
        <v>0</v>
      </c>
      <c r="N49" s="129">
        <f t="shared" si="1"/>
        <v>0</v>
      </c>
      <c r="O49" s="547">
        <f t="shared" si="6"/>
        <v>0</v>
      </c>
      <c r="P49" s="130">
        <f t="shared" si="2"/>
        <v>0</v>
      </c>
      <c r="Q49" s="131">
        <f t="shared" si="3"/>
        <v>0</v>
      </c>
      <c r="R49" s="578">
        <f t="shared" si="7"/>
        <v>1</v>
      </c>
    </row>
    <row r="50" spans="1:18" s="57" customFormat="1" ht="24.9" customHeight="1" x14ac:dyDescent="0.25">
      <c r="A50" s="533" t="str">
        <f>'Kalk UHR GS Deisenhofen'!A50</f>
        <v>Mittagsbetreuung</v>
      </c>
      <c r="B50" s="302" t="str">
        <f>'Kalk UHR GS Deisenhofen'!B50</f>
        <v>OG</v>
      </c>
      <c r="C50" s="302" t="str">
        <f>'Kalk UHR GS Deisenhofen'!C50</f>
        <v>1.C.T.06</v>
      </c>
      <c r="D50" s="302" t="str">
        <f>'Kalk UHR GS Deisenhofen'!D50</f>
        <v>Treppe</v>
      </c>
      <c r="E50" s="302" t="str">
        <f>'Kalk UHR GS Deisenhofen'!E50</f>
        <v>Naturstein</v>
      </c>
      <c r="F50" s="469" t="str">
        <f>'Kalk UHR GS Deisenhofen'!F50</f>
        <v>F3-W5</v>
      </c>
      <c r="G50" s="228" t="str">
        <f t="shared" si="8"/>
        <v>F3-J0,5</v>
      </c>
      <c r="H50" s="127">
        <f>'Kalk UHR GS Deisenhofen'!G50</f>
        <v>41.62</v>
      </c>
      <c r="I50" s="97" t="s">
        <v>909</v>
      </c>
      <c r="J50" s="328">
        <f>VLOOKUP(I50,Turnus!$H$9:$I$26,2,FALSE)</f>
        <v>0.5</v>
      </c>
      <c r="K50" s="127">
        <f t="shared" si="0"/>
        <v>20.81</v>
      </c>
      <c r="L50" s="128">
        <f>VLOOKUP($G50,'Leistungswerte GR Kigas'!$C$6:$F$53,4,FALSE)</f>
        <v>0</v>
      </c>
      <c r="M50" s="129">
        <f t="shared" si="5"/>
        <v>0</v>
      </c>
      <c r="N50" s="129">
        <f t="shared" si="1"/>
        <v>0</v>
      </c>
      <c r="O50" s="547">
        <f t="shared" si="6"/>
        <v>0</v>
      </c>
      <c r="P50" s="130">
        <f t="shared" si="2"/>
        <v>0</v>
      </c>
      <c r="Q50" s="131">
        <f t="shared" si="3"/>
        <v>0</v>
      </c>
      <c r="R50" s="578">
        <f t="shared" si="7"/>
        <v>2</v>
      </c>
    </row>
    <row r="51" spans="1:18" s="57" customFormat="1" ht="24.9" customHeight="1" x14ac:dyDescent="0.25">
      <c r="A51" s="533" t="str">
        <f>'Kalk UHR GS Deisenhofen'!A51</f>
        <v>Mittagsbetreuung</v>
      </c>
      <c r="B51" s="302" t="str">
        <f>'Kalk UHR GS Deisenhofen'!B51</f>
        <v>OG</v>
      </c>
      <c r="C51" s="302" t="str">
        <f>'Kalk UHR GS Deisenhofen'!C51</f>
        <v>1.C.33</v>
      </c>
      <c r="D51" s="302" t="str">
        <f>'Kalk UHR GS Deisenhofen'!D51</f>
        <v>Gruppenraum</v>
      </c>
      <c r="E51" s="302" t="str">
        <f>'Kalk UHR GS Deisenhofen'!E51</f>
        <v>Linoleum</v>
      </c>
      <c r="F51" s="469" t="str">
        <f>'Kalk UHR GS Deisenhofen'!F51</f>
        <v>G1-W5</v>
      </c>
      <c r="G51" s="228" t="str">
        <f t="shared" si="8"/>
        <v>G1-J0,5</v>
      </c>
      <c r="H51" s="127">
        <f>'Kalk UHR GS Deisenhofen'!G51</f>
        <v>62.9</v>
      </c>
      <c r="I51" s="97" t="s">
        <v>909</v>
      </c>
      <c r="J51" s="328">
        <f>VLOOKUP(I51,Turnus!$H$9:$I$26,2,FALSE)</f>
        <v>0.5</v>
      </c>
      <c r="K51" s="127">
        <f t="shared" si="0"/>
        <v>31.45</v>
      </c>
      <c r="L51" s="128">
        <f>VLOOKUP($G51,'Leistungswerte GR Kigas'!$C$6:$F$53,4,FALSE)</f>
        <v>0</v>
      </c>
      <c r="M51" s="129">
        <f t="shared" si="5"/>
        <v>0</v>
      </c>
      <c r="N51" s="129">
        <f t="shared" si="1"/>
        <v>0</v>
      </c>
      <c r="O51" s="547">
        <f t="shared" si="6"/>
        <v>0</v>
      </c>
      <c r="P51" s="130">
        <f t="shared" si="2"/>
        <v>0</v>
      </c>
      <c r="Q51" s="131">
        <f t="shared" si="3"/>
        <v>0</v>
      </c>
      <c r="R51" s="578">
        <f t="shared" si="7"/>
        <v>2</v>
      </c>
    </row>
    <row r="52" spans="1:18" s="57" customFormat="1" ht="24.9" customHeight="1" x14ac:dyDescent="0.25">
      <c r="A52" s="533" t="str">
        <f>'Kalk UHR GS Deisenhofen'!A52</f>
        <v>Mittagsbetreuung</v>
      </c>
      <c r="B52" s="302" t="str">
        <f>'Kalk UHR GS Deisenhofen'!B52</f>
        <v>OG</v>
      </c>
      <c r="C52" s="302" t="str">
        <f>'Kalk UHR GS Deisenhofen'!C52</f>
        <v>1.C.34</v>
      </c>
      <c r="D52" s="302" t="str">
        <f>'Kalk UHR GS Deisenhofen'!D52</f>
        <v>Nebenraum</v>
      </c>
      <c r="E52" s="302" t="str">
        <f>'Kalk UHR GS Deisenhofen'!E52</f>
        <v>Linoleum</v>
      </c>
      <c r="F52" s="469" t="str">
        <f>'Kalk UHR GS Deisenhofen'!F52</f>
        <v>G1-W5</v>
      </c>
      <c r="G52" s="228" t="str">
        <f t="shared" si="8"/>
        <v>G1-J0,5</v>
      </c>
      <c r="H52" s="127">
        <f>'Kalk UHR GS Deisenhofen'!G52</f>
        <v>38.42</v>
      </c>
      <c r="I52" s="97" t="s">
        <v>909</v>
      </c>
      <c r="J52" s="328">
        <f>VLOOKUP(I52,Turnus!$H$9:$I$26,2,FALSE)</f>
        <v>0.5</v>
      </c>
      <c r="K52" s="127">
        <f t="shared" si="0"/>
        <v>19.21</v>
      </c>
      <c r="L52" s="128">
        <f>VLOOKUP($G52,'Leistungswerte GR Kigas'!$C$6:$F$53,4,FALSE)</f>
        <v>0</v>
      </c>
      <c r="M52" s="129">
        <f t="shared" si="5"/>
        <v>0</v>
      </c>
      <c r="N52" s="129">
        <f t="shared" si="1"/>
        <v>0</v>
      </c>
      <c r="O52" s="547">
        <f t="shared" si="6"/>
        <v>0</v>
      </c>
      <c r="P52" s="130">
        <f t="shared" si="2"/>
        <v>0</v>
      </c>
      <c r="Q52" s="131">
        <f t="shared" si="3"/>
        <v>0</v>
      </c>
      <c r="R52" s="578">
        <f t="shared" si="7"/>
        <v>2</v>
      </c>
    </row>
    <row r="53" spans="1:18" s="57" customFormat="1" ht="24.9" customHeight="1" x14ac:dyDescent="0.25">
      <c r="A53" s="533" t="str">
        <f>'Kalk UHR GS Deisenhofen'!A53</f>
        <v>Mittagsbetreuung</v>
      </c>
      <c r="B53" s="302" t="str">
        <f>'Kalk UHR GS Deisenhofen'!B53</f>
        <v>OG</v>
      </c>
      <c r="C53" s="302" t="str">
        <f>'Kalk UHR GS Deisenhofen'!C53</f>
        <v>1.C.F.07</v>
      </c>
      <c r="D53" s="302" t="str">
        <f>'Kalk UHR GS Deisenhofen'!D53</f>
        <v>Flur</v>
      </c>
      <c r="E53" s="302" t="str">
        <f>'Kalk UHR GS Deisenhofen'!E53</f>
        <v>Linoleum</v>
      </c>
      <c r="F53" s="469" t="str">
        <f>'Kalk UHR GS Deisenhofen'!F53</f>
        <v>F1-W5</v>
      </c>
      <c r="G53" s="228" t="str">
        <f t="shared" si="8"/>
        <v>F1-J0,5</v>
      </c>
      <c r="H53" s="127">
        <f>'Kalk UHR GS Deisenhofen'!G53</f>
        <v>51.92</v>
      </c>
      <c r="I53" s="97" t="s">
        <v>909</v>
      </c>
      <c r="J53" s="328">
        <f>VLOOKUP(I53,Turnus!$H$9:$I$26,2,FALSE)</f>
        <v>0.5</v>
      </c>
      <c r="K53" s="127">
        <f t="shared" si="0"/>
        <v>25.96</v>
      </c>
      <c r="L53" s="128">
        <f>VLOOKUP($G53,'Leistungswerte GR Kigas'!$C$6:$F$53,4,FALSE)</f>
        <v>0</v>
      </c>
      <c r="M53" s="129">
        <f t="shared" si="5"/>
        <v>0</v>
      </c>
      <c r="N53" s="129">
        <f t="shared" si="1"/>
        <v>0</v>
      </c>
      <c r="O53" s="547">
        <f t="shared" si="6"/>
        <v>0</v>
      </c>
      <c r="P53" s="130">
        <f t="shared" si="2"/>
        <v>0</v>
      </c>
      <c r="Q53" s="131">
        <f t="shared" si="3"/>
        <v>0</v>
      </c>
      <c r="R53" s="578">
        <f t="shared" si="7"/>
        <v>2</v>
      </c>
    </row>
    <row r="54" spans="1:18" s="57" customFormat="1" ht="24.9" customHeight="1" x14ac:dyDescent="0.25">
      <c r="A54" s="533" t="str">
        <f>'Kalk UHR GS Deisenhofen'!A54</f>
        <v>Mittagsbetreuung</v>
      </c>
      <c r="B54" s="302" t="str">
        <f>'Kalk UHR GS Deisenhofen'!B54</f>
        <v>OG</v>
      </c>
      <c r="C54" s="302" t="str">
        <f>'Kalk UHR GS Deisenhofen'!C54</f>
        <v>1.C.35</v>
      </c>
      <c r="D54" s="302" t="str">
        <f>'Kalk UHR GS Deisenhofen'!D54</f>
        <v>Nebenraum</v>
      </c>
      <c r="E54" s="302" t="str">
        <f>'Kalk UHR GS Deisenhofen'!E54</f>
        <v>Linoleum</v>
      </c>
      <c r="F54" s="469" t="str">
        <f>'Kalk UHR GS Deisenhofen'!F54</f>
        <v>G1-W5</v>
      </c>
      <c r="G54" s="228" t="str">
        <f t="shared" si="8"/>
        <v>G1-J0,5</v>
      </c>
      <c r="H54" s="127">
        <f>'Kalk UHR GS Deisenhofen'!G54</f>
        <v>38.42</v>
      </c>
      <c r="I54" s="97" t="s">
        <v>909</v>
      </c>
      <c r="J54" s="328">
        <f>VLOOKUP(I54,Turnus!$H$9:$I$26,2,FALSE)</f>
        <v>0.5</v>
      </c>
      <c r="K54" s="127">
        <f t="shared" si="0"/>
        <v>19.21</v>
      </c>
      <c r="L54" s="128">
        <f>VLOOKUP($G54,'Leistungswerte GR Kigas'!$C$6:$F$53,4,FALSE)</f>
        <v>0</v>
      </c>
      <c r="M54" s="129">
        <f t="shared" si="5"/>
        <v>0</v>
      </c>
      <c r="N54" s="129">
        <f t="shared" si="1"/>
        <v>0</v>
      </c>
      <c r="O54" s="547">
        <f t="shared" si="6"/>
        <v>0</v>
      </c>
      <c r="P54" s="130">
        <f t="shared" si="2"/>
        <v>0</v>
      </c>
      <c r="Q54" s="131">
        <f t="shared" si="3"/>
        <v>0</v>
      </c>
      <c r="R54" s="578">
        <f t="shared" si="7"/>
        <v>2</v>
      </c>
    </row>
    <row r="55" spans="1:18" s="57" customFormat="1" ht="24.9" customHeight="1" x14ac:dyDescent="0.25">
      <c r="A55" s="533" t="str">
        <f>'Kalk UHR GS Deisenhofen'!A55</f>
        <v>Mittagsbetreuung</v>
      </c>
      <c r="B55" s="302" t="str">
        <f>'Kalk UHR GS Deisenhofen'!B55</f>
        <v>OG</v>
      </c>
      <c r="C55" s="302" t="str">
        <f>'Kalk UHR GS Deisenhofen'!C55</f>
        <v>1.C.36</v>
      </c>
      <c r="D55" s="302" t="str">
        <f>'Kalk UHR GS Deisenhofen'!D55</f>
        <v>Bewegungsraum 2</v>
      </c>
      <c r="E55" s="302" t="str">
        <f>'Kalk UHR GS Deisenhofen'!E55</f>
        <v>Linoleum</v>
      </c>
      <c r="F55" s="469" t="str">
        <f>'Kalk UHR GS Deisenhofen'!F55</f>
        <v>N2-W5</v>
      </c>
      <c r="G55" s="228" t="str">
        <f t="shared" si="8"/>
        <v>N2-J0,5</v>
      </c>
      <c r="H55" s="127">
        <f>'Kalk UHR GS Deisenhofen'!G55</f>
        <v>62.04</v>
      </c>
      <c r="I55" s="97" t="s">
        <v>909</v>
      </c>
      <c r="J55" s="328">
        <f>VLOOKUP(I55,Turnus!$H$9:$I$26,2,FALSE)</f>
        <v>0.5</v>
      </c>
      <c r="K55" s="127">
        <f t="shared" si="0"/>
        <v>31.02</v>
      </c>
      <c r="L55" s="128">
        <f>VLOOKUP($G55,'Leistungswerte GR Kigas'!$C$6:$F$53,4,FALSE)</f>
        <v>0</v>
      </c>
      <c r="M55" s="129">
        <f t="shared" si="5"/>
        <v>0</v>
      </c>
      <c r="N55" s="129">
        <f t="shared" si="1"/>
        <v>0</v>
      </c>
      <c r="O55" s="547">
        <f t="shared" si="6"/>
        <v>0</v>
      </c>
      <c r="P55" s="130">
        <f t="shared" si="2"/>
        <v>0</v>
      </c>
      <c r="Q55" s="131">
        <f t="shared" si="3"/>
        <v>0</v>
      </c>
      <c r="R55" s="578">
        <f t="shared" si="7"/>
        <v>2</v>
      </c>
    </row>
    <row r="56" spans="1:18" s="57" customFormat="1" ht="24.9" customHeight="1" x14ac:dyDescent="0.25">
      <c r="A56" s="533" t="str">
        <f>'Kalk UHR GS Deisenhofen'!A56</f>
        <v>Mittagsbetreuung</v>
      </c>
      <c r="B56" s="302" t="str">
        <f>'Kalk UHR GS Deisenhofen'!B56</f>
        <v>OG</v>
      </c>
      <c r="C56" s="302" t="str">
        <f>'Kalk UHR GS Deisenhofen'!C56</f>
        <v>1.C.F.08</v>
      </c>
      <c r="D56" s="302" t="str">
        <f>'Kalk UHR GS Deisenhofen'!D56</f>
        <v>Flur</v>
      </c>
      <c r="E56" s="302" t="str">
        <f>'Kalk UHR GS Deisenhofen'!E56</f>
        <v>Linoleum</v>
      </c>
      <c r="F56" s="469" t="str">
        <f>'Kalk UHR GS Deisenhofen'!F56</f>
        <v>F1-W5</v>
      </c>
      <c r="G56" s="228" t="str">
        <f t="shared" si="8"/>
        <v>F1-J0,5</v>
      </c>
      <c r="H56" s="127">
        <f>'Kalk UHR GS Deisenhofen'!G56</f>
        <v>26.49</v>
      </c>
      <c r="I56" s="97" t="s">
        <v>909</v>
      </c>
      <c r="J56" s="328">
        <f>VLOOKUP(I56,Turnus!$H$9:$I$26,2,FALSE)</f>
        <v>0.5</v>
      </c>
      <c r="K56" s="127">
        <f t="shared" si="0"/>
        <v>13.244999999999999</v>
      </c>
      <c r="L56" s="128">
        <f>VLOOKUP($G56,'Leistungswerte GR Kigas'!$C$6:$F$53,4,FALSE)</f>
        <v>0</v>
      </c>
      <c r="M56" s="129">
        <f t="shared" si="5"/>
        <v>0</v>
      </c>
      <c r="N56" s="129">
        <f t="shared" si="1"/>
        <v>0</v>
      </c>
      <c r="O56" s="547">
        <f t="shared" si="6"/>
        <v>0</v>
      </c>
      <c r="P56" s="130">
        <f t="shared" si="2"/>
        <v>0</v>
      </c>
      <c r="Q56" s="131">
        <f t="shared" si="3"/>
        <v>0</v>
      </c>
      <c r="R56" s="578">
        <f t="shared" si="7"/>
        <v>2</v>
      </c>
    </row>
    <row r="57" spans="1:18" s="57" customFormat="1" ht="24.9" customHeight="1" x14ac:dyDescent="0.25">
      <c r="A57" s="470" t="str">
        <f>'Kalk UHR GS Deisenhofen'!A57</f>
        <v>Schule</v>
      </c>
      <c r="B57" s="302" t="str">
        <f>'Kalk UHR GS Deisenhofen'!B57</f>
        <v>OG</v>
      </c>
      <c r="C57" s="302" t="str">
        <f>'Kalk UHR GS Deisenhofen'!C57</f>
        <v>1.D.Z.02</v>
      </c>
      <c r="D57" s="302" t="str">
        <f>'Kalk UHR GS Deisenhofen'!D57</f>
        <v>Aufzug (Turnus siehe EG)</v>
      </c>
      <c r="E57" s="302" t="str">
        <f>'Kalk UHR GS Deisenhofen'!E57</f>
        <v>Naturstein</v>
      </c>
      <c r="F57" s="469" t="str">
        <f>'Kalk UHR GS Deisenhofen'!F57</f>
        <v>Z-kR</v>
      </c>
      <c r="G57" s="228" t="str">
        <f t="shared" si="8"/>
        <v>Z--kR</v>
      </c>
      <c r="H57" s="127">
        <f>'Kalk UHR GS Deisenhofen'!G57</f>
        <v>3.33</v>
      </c>
      <c r="I57" s="97" t="s">
        <v>68</v>
      </c>
      <c r="J57" s="328">
        <f>VLOOKUP(I57,Turnus!$D$9:$E$26,2,FALSE)</f>
        <v>0</v>
      </c>
      <c r="K57" s="127">
        <f t="shared" si="0"/>
        <v>0</v>
      </c>
      <c r="L57" s="128">
        <f>VLOOKUP($G57,'Leistungswerte GR Schulen'!$C$6:$F$53,4,FALSE)</f>
        <v>0</v>
      </c>
      <c r="M57" s="129">
        <f t="shared" si="5"/>
        <v>0</v>
      </c>
      <c r="N57" s="129">
        <f t="shared" si="1"/>
        <v>0</v>
      </c>
      <c r="O57" s="547">
        <f t="shared" si="6"/>
        <v>0</v>
      </c>
      <c r="P57" s="130">
        <f t="shared" si="2"/>
        <v>0</v>
      </c>
      <c r="Q57" s="131">
        <f t="shared" si="3"/>
        <v>0</v>
      </c>
      <c r="R57" s="578">
        <f t="shared" si="7"/>
        <v>1</v>
      </c>
    </row>
    <row r="58" spans="1:18" s="57" customFormat="1" ht="24.9" customHeight="1" x14ac:dyDescent="0.25">
      <c r="A58" s="470" t="str">
        <f>'Kalk UHR GS Deisenhofen'!A58</f>
        <v>Schule</v>
      </c>
      <c r="B58" s="302" t="str">
        <f>'Kalk UHR GS Deisenhofen'!B58</f>
        <v>OG</v>
      </c>
      <c r="C58" s="302" t="str">
        <f>'Kalk UHR GS Deisenhofen'!C58</f>
        <v>1.D.F.10</v>
      </c>
      <c r="D58" s="302" t="str">
        <f>'Kalk UHR GS Deisenhofen'!D58</f>
        <v>Flur</v>
      </c>
      <c r="E58" s="302" t="str">
        <f>'Kalk UHR GS Deisenhofen'!E58</f>
        <v>Linoleum</v>
      </c>
      <c r="F58" s="469" t="str">
        <f>'Kalk UHR GS Deisenhofen'!F58</f>
        <v>F1-W5</v>
      </c>
      <c r="G58" s="228" t="str">
        <f t="shared" si="8"/>
        <v>F1-J0,5</v>
      </c>
      <c r="H58" s="127">
        <f>'Kalk UHR GS Deisenhofen'!G58</f>
        <v>35.5</v>
      </c>
      <c r="I58" s="97" t="s">
        <v>909</v>
      </c>
      <c r="J58" s="328">
        <f>VLOOKUP(I58,Turnus!$D$9:$E$26,2,FALSE)</f>
        <v>0.5</v>
      </c>
      <c r="K58" s="127">
        <f t="shared" si="0"/>
        <v>17.75</v>
      </c>
      <c r="L58" s="128">
        <f>VLOOKUP($G58,'Leistungswerte GR Schulen'!$C$6:$F$53,4,FALSE)</f>
        <v>0</v>
      </c>
      <c r="M58" s="129">
        <f t="shared" si="5"/>
        <v>0</v>
      </c>
      <c r="N58" s="129">
        <f t="shared" si="1"/>
        <v>0</v>
      </c>
      <c r="O58" s="547">
        <f t="shared" si="6"/>
        <v>0</v>
      </c>
      <c r="P58" s="130">
        <f t="shared" si="2"/>
        <v>0</v>
      </c>
      <c r="Q58" s="131">
        <f t="shared" si="3"/>
        <v>0</v>
      </c>
      <c r="R58" s="578">
        <f t="shared" si="7"/>
        <v>1</v>
      </c>
    </row>
    <row r="59" spans="1:18" s="57" customFormat="1" ht="24.9" customHeight="1" x14ac:dyDescent="0.25">
      <c r="A59" s="470" t="str">
        <f>'Kalk UHR GS Deisenhofen'!A59</f>
        <v>Schule</v>
      </c>
      <c r="B59" s="302" t="str">
        <f>'Kalk UHR GS Deisenhofen'!B59</f>
        <v>OG</v>
      </c>
      <c r="C59" s="302" t="str">
        <f>'Kalk UHR GS Deisenhofen'!C59</f>
        <v>1.D.F.11</v>
      </c>
      <c r="D59" s="302" t="str">
        <f>'Kalk UHR GS Deisenhofen'!D59</f>
        <v>Flur</v>
      </c>
      <c r="E59" s="302" t="str">
        <f>'Kalk UHR GS Deisenhofen'!E59</f>
        <v>Linoleum</v>
      </c>
      <c r="F59" s="469" t="str">
        <f>'Kalk UHR GS Deisenhofen'!F59</f>
        <v>F1-W5</v>
      </c>
      <c r="G59" s="228" t="str">
        <f t="shared" si="8"/>
        <v>F1-J0,5</v>
      </c>
      <c r="H59" s="127">
        <f>'Kalk UHR GS Deisenhofen'!G59</f>
        <v>59.47</v>
      </c>
      <c r="I59" s="97" t="s">
        <v>909</v>
      </c>
      <c r="J59" s="328">
        <f>VLOOKUP(I59,Turnus!$D$9:$E$26,2,FALSE)</f>
        <v>0.5</v>
      </c>
      <c r="K59" s="127">
        <f t="shared" si="0"/>
        <v>29.734999999999999</v>
      </c>
      <c r="L59" s="128">
        <f>VLOOKUP($G59,'Leistungswerte GR Schulen'!$C$6:$F$53,4,FALSE)</f>
        <v>0</v>
      </c>
      <c r="M59" s="129">
        <f t="shared" si="5"/>
        <v>0</v>
      </c>
      <c r="N59" s="129">
        <f t="shared" si="1"/>
        <v>0</v>
      </c>
      <c r="O59" s="547">
        <f t="shared" si="6"/>
        <v>0</v>
      </c>
      <c r="P59" s="130">
        <f t="shared" si="2"/>
        <v>0</v>
      </c>
      <c r="Q59" s="131">
        <f t="shared" si="3"/>
        <v>0</v>
      </c>
      <c r="R59" s="578">
        <f t="shared" si="7"/>
        <v>1</v>
      </c>
    </row>
    <row r="60" spans="1:18" s="57" customFormat="1" ht="24.9" customHeight="1" x14ac:dyDescent="0.25">
      <c r="A60" s="470" t="str">
        <f>'Kalk UHR GS Deisenhofen'!A60</f>
        <v>Schule</v>
      </c>
      <c r="B60" s="302" t="str">
        <f>'Kalk UHR GS Deisenhofen'!B60</f>
        <v>OG</v>
      </c>
      <c r="C60" s="302" t="str">
        <f>'Kalk UHR GS Deisenhofen'!C60</f>
        <v>1.D.37</v>
      </c>
      <c r="D60" s="302" t="str">
        <f>'Kalk UHR GS Deisenhofen'!D60</f>
        <v>Stille Pause</v>
      </c>
      <c r="E60" s="302" t="str">
        <f>'Kalk UHR GS Deisenhofen'!E60</f>
        <v>PVC</v>
      </c>
      <c r="F60" s="469" t="str">
        <f>'Kalk UHR GS Deisenhofen'!F60</f>
        <v>G1-W3</v>
      </c>
      <c r="G60" s="228" t="str">
        <f t="shared" si="8"/>
        <v>G1-J0,5</v>
      </c>
      <c r="H60" s="127">
        <f>'Kalk UHR GS Deisenhofen'!G60</f>
        <v>16.71</v>
      </c>
      <c r="I60" s="97" t="s">
        <v>909</v>
      </c>
      <c r="J60" s="328">
        <f>VLOOKUP(I60,Turnus!$D$9:$E$26,2,FALSE)</f>
        <v>0.5</v>
      </c>
      <c r="K60" s="127">
        <f t="shared" si="0"/>
        <v>8.3550000000000004</v>
      </c>
      <c r="L60" s="128">
        <f>VLOOKUP($G60,'Leistungswerte GR Schulen'!$C$6:$F$53,4,FALSE)</f>
        <v>0</v>
      </c>
      <c r="M60" s="129">
        <f t="shared" si="5"/>
        <v>0</v>
      </c>
      <c r="N60" s="129">
        <f t="shared" si="1"/>
        <v>0</v>
      </c>
      <c r="O60" s="547">
        <f t="shared" si="6"/>
        <v>0</v>
      </c>
      <c r="P60" s="130">
        <f t="shared" si="2"/>
        <v>0</v>
      </c>
      <c r="Q60" s="131">
        <f t="shared" si="3"/>
        <v>0</v>
      </c>
      <c r="R60" s="578">
        <f t="shared" si="7"/>
        <v>1</v>
      </c>
    </row>
    <row r="61" spans="1:18" s="57" customFormat="1" ht="24.9" customHeight="1" x14ac:dyDescent="0.25">
      <c r="A61" s="470" t="str">
        <f>'Kalk UHR GS Deisenhofen'!A61</f>
        <v>Schule</v>
      </c>
      <c r="B61" s="302" t="str">
        <f>'Kalk UHR GS Deisenhofen'!B61</f>
        <v>OG</v>
      </c>
      <c r="C61" s="302" t="str">
        <f>'Kalk UHR GS Deisenhofen'!C61</f>
        <v>1.D.38</v>
      </c>
      <c r="D61" s="302" t="str">
        <f>'Kalk UHR GS Deisenhofen'!D61</f>
        <v>WC-Jungen</v>
      </c>
      <c r="E61" s="302" t="str">
        <f>'Kalk UHR GS Deisenhofen'!E61</f>
        <v>Fliesen</v>
      </c>
      <c r="F61" s="469" t="str">
        <f>'Kalk UHR GS Deisenhofen'!F61</f>
        <v>S1-W5</v>
      </c>
      <c r="G61" s="228" t="str">
        <f t="shared" si="8"/>
        <v>S1-J1</v>
      </c>
      <c r="H61" s="127">
        <f>'Kalk UHR GS Deisenhofen'!G61</f>
        <v>11.31</v>
      </c>
      <c r="I61" s="97" t="s">
        <v>54</v>
      </c>
      <c r="J61" s="328">
        <f>VLOOKUP(I61,Turnus!$D$9:$E$26,2,FALSE)</f>
        <v>1</v>
      </c>
      <c r="K61" s="127">
        <f t="shared" si="0"/>
        <v>11.31</v>
      </c>
      <c r="L61" s="128">
        <f>VLOOKUP($G61,'Leistungswerte GR Schulen'!$C$6:$F$53,4,FALSE)</f>
        <v>0</v>
      </c>
      <c r="M61" s="129">
        <f t="shared" si="5"/>
        <v>0</v>
      </c>
      <c r="N61" s="129">
        <f t="shared" si="1"/>
        <v>0</v>
      </c>
      <c r="O61" s="547">
        <f t="shared" si="6"/>
        <v>0</v>
      </c>
      <c r="P61" s="130">
        <f t="shared" si="2"/>
        <v>0</v>
      </c>
      <c r="Q61" s="131">
        <f t="shared" si="3"/>
        <v>0</v>
      </c>
      <c r="R61" s="578">
        <f t="shared" si="7"/>
        <v>1</v>
      </c>
    </row>
    <row r="62" spans="1:18" s="57" customFormat="1" ht="24.9" customHeight="1" x14ac:dyDescent="0.25">
      <c r="A62" s="470" t="str">
        <f>'Kalk UHR GS Deisenhofen'!A62</f>
        <v>Schule</v>
      </c>
      <c r="B62" s="302" t="str">
        <f>'Kalk UHR GS Deisenhofen'!B62</f>
        <v>OG</v>
      </c>
      <c r="C62" s="302" t="str">
        <f>'Kalk UHR GS Deisenhofen'!C62</f>
        <v>1.D.39</v>
      </c>
      <c r="D62" s="302" t="str">
        <f>'Kalk UHR GS Deisenhofen'!D62</f>
        <v>WC-Lehrer</v>
      </c>
      <c r="E62" s="302" t="str">
        <f>'Kalk UHR GS Deisenhofen'!E62</f>
        <v>Fliesen</v>
      </c>
      <c r="F62" s="469" t="str">
        <f>'Kalk UHR GS Deisenhofen'!F62</f>
        <v>S1-W5</v>
      </c>
      <c r="G62" s="228" t="str">
        <f t="shared" si="8"/>
        <v>S1-J1</v>
      </c>
      <c r="H62" s="127">
        <f>'Kalk UHR GS Deisenhofen'!G62</f>
        <v>3.84</v>
      </c>
      <c r="I62" s="97" t="s">
        <v>54</v>
      </c>
      <c r="J62" s="328">
        <f>VLOOKUP(I62,Turnus!$D$9:$E$26,2,FALSE)</f>
        <v>1</v>
      </c>
      <c r="K62" s="127">
        <f t="shared" si="0"/>
        <v>3.84</v>
      </c>
      <c r="L62" s="128">
        <f>VLOOKUP($G62,'Leistungswerte GR Schulen'!$C$6:$F$53,4,FALSE)</f>
        <v>0</v>
      </c>
      <c r="M62" s="129">
        <f t="shared" si="5"/>
        <v>0</v>
      </c>
      <c r="N62" s="129">
        <f t="shared" si="1"/>
        <v>0</v>
      </c>
      <c r="O62" s="547">
        <f t="shared" si="6"/>
        <v>0</v>
      </c>
      <c r="P62" s="130">
        <f t="shared" si="2"/>
        <v>0</v>
      </c>
      <c r="Q62" s="131">
        <f t="shared" si="3"/>
        <v>0</v>
      </c>
      <c r="R62" s="578">
        <f t="shared" si="7"/>
        <v>1</v>
      </c>
    </row>
    <row r="63" spans="1:18" s="57" customFormat="1" ht="24.9" customHeight="1" x14ac:dyDescent="0.25">
      <c r="A63" s="470" t="str">
        <f>'Kalk UHR GS Deisenhofen'!A63</f>
        <v>Schule</v>
      </c>
      <c r="B63" s="302" t="str">
        <f>'Kalk UHR GS Deisenhofen'!B63</f>
        <v>OG</v>
      </c>
      <c r="C63" s="302" t="str">
        <f>'Kalk UHR GS Deisenhofen'!C63</f>
        <v>1.D.40</v>
      </c>
      <c r="D63" s="302" t="str">
        <f>'Kalk UHR GS Deisenhofen'!D63</f>
        <v>WC-Mädchen</v>
      </c>
      <c r="E63" s="302" t="str">
        <f>'Kalk UHR GS Deisenhofen'!E63</f>
        <v>Fliesen</v>
      </c>
      <c r="F63" s="469" t="str">
        <f>'Kalk UHR GS Deisenhofen'!F63</f>
        <v>S1-W5</v>
      </c>
      <c r="G63" s="228" t="str">
        <f t="shared" si="8"/>
        <v>S1-J1</v>
      </c>
      <c r="H63" s="127">
        <f>'Kalk UHR GS Deisenhofen'!G63</f>
        <v>11.47</v>
      </c>
      <c r="I63" s="97" t="s">
        <v>54</v>
      </c>
      <c r="J63" s="328">
        <f>VLOOKUP(I63,Turnus!$D$9:$E$26,2,FALSE)</f>
        <v>1</v>
      </c>
      <c r="K63" s="127">
        <f t="shared" si="0"/>
        <v>11.47</v>
      </c>
      <c r="L63" s="128">
        <f>VLOOKUP($G63,'Leistungswerte GR Schulen'!$C$6:$F$53,4,FALSE)</f>
        <v>0</v>
      </c>
      <c r="M63" s="129">
        <f t="shared" si="5"/>
        <v>0</v>
      </c>
      <c r="N63" s="129">
        <f t="shared" si="1"/>
        <v>0</v>
      </c>
      <c r="O63" s="547">
        <f t="shared" si="6"/>
        <v>0</v>
      </c>
      <c r="P63" s="130">
        <f t="shared" si="2"/>
        <v>0</v>
      </c>
      <c r="Q63" s="131">
        <f t="shared" si="3"/>
        <v>0</v>
      </c>
      <c r="R63" s="578">
        <f t="shared" si="7"/>
        <v>1</v>
      </c>
    </row>
    <row r="64" spans="1:18" s="57" customFormat="1" ht="24.9" customHeight="1" x14ac:dyDescent="0.25">
      <c r="A64" s="470" t="str">
        <f>'Kalk UHR GS Deisenhofen'!A64</f>
        <v>Schule</v>
      </c>
      <c r="B64" s="302" t="str">
        <f>'Kalk UHR GS Deisenhofen'!B64</f>
        <v>OG</v>
      </c>
      <c r="C64" s="302" t="str">
        <f>'Kalk UHR GS Deisenhofen'!C64</f>
        <v>1.D.40a</v>
      </c>
      <c r="D64" s="302" t="str">
        <f>'Kalk UHR GS Deisenhofen'!D64</f>
        <v>Putzraum</v>
      </c>
      <c r="E64" s="302">
        <f>'Kalk UHR GS Deisenhofen'!E64</f>
        <v>0</v>
      </c>
      <c r="F64" s="469" t="str">
        <f>'Kalk UHR GS Deisenhofen'!F64</f>
        <v>Z-kR</v>
      </c>
      <c r="G64" s="228" t="str">
        <f t="shared" si="8"/>
        <v>Z--kR</v>
      </c>
      <c r="H64" s="127">
        <f>'Kalk UHR GS Deisenhofen'!G64</f>
        <v>3.84</v>
      </c>
      <c r="I64" s="97" t="s">
        <v>68</v>
      </c>
      <c r="J64" s="328">
        <f>VLOOKUP(I64,Turnus!$D$9:$E$26,2,FALSE)</f>
        <v>0</v>
      </c>
      <c r="K64" s="127">
        <f t="shared" si="0"/>
        <v>0</v>
      </c>
      <c r="L64" s="128">
        <f>VLOOKUP($G64,'Leistungswerte GR Schulen'!$C$6:$F$53,4,FALSE)</f>
        <v>0</v>
      </c>
      <c r="M64" s="129">
        <f t="shared" si="5"/>
        <v>0</v>
      </c>
      <c r="N64" s="129">
        <f t="shared" si="1"/>
        <v>0</v>
      </c>
      <c r="O64" s="547">
        <f t="shared" si="6"/>
        <v>0</v>
      </c>
      <c r="P64" s="130">
        <f t="shared" si="2"/>
        <v>0</v>
      </c>
      <c r="Q64" s="131">
        <f t="shared" si="3"/>
        <v>0</v>
      </c>
      <c r="R64" s="578">
        <f t="shared" si="7"/>
        <v>1</v>
      </c>
    </row>
    <row r="65" spans="1:18" s="57" customFormat="1" ht="24.9" customHeight="1" x14ac:dyDescent="0.25">
      <c r="A65" s="470" t="str">
        <f>'Kalk UHR GS Deisenhofen'!A65</f>
        <v>Schule</v>
      </c>
      <c r="B65" s="302" t="str">
        <f>'Kalk UHR GS Deisenhofen'!B65</f>
        <v>OG</v>
      </c>
      <c r="C65" s="302" t="str">
        <f>'Kalk UHR GS Deisenhofen'!C65</f>
        <v>1.D.T.08</v>
      </c>
      <c r="D65" s="302" t="str">
        <f>'Kalk UHR GS Deisenhofen'!D65</f>
        <v>Treppe</v>
      </c>
      <c r="E65" s="302" t="str">
        <f>'Kalk UHR GS Deisenhofen'!E65</f>
        <v>Naturstein</v>
      </c>
      <c r="F65" s="469" t="str">
        <f>'Kalk UHR GS Deisenhofen'!F65</f>
        <v>F3-W5</v>
      </c>
      <c r="G65" s="228" t="str">
        <f t="shared" si="8"/>
        <v>F3-J0,5</v>
      </c>
      <c r="H65" s="127">
        <f>'Kalk UHR GS Deisenhofen'!G65</f>
        <v>29.8</v>
      </c>
      <c r="I65" s="97" t="s">
        <v>909</v>
      </c>
      <c r="J65" s="328">
        <f>VLOOKUP(I65,Turnus!$D$9:$E$26,2,FALSE)</f>
        <v>0.5</v>
      </c>
      <c r="K65" s="127">
        <f t="shared" si="0"/>
        <v>14.9</v>
      </c>
      <c r="L65" s="128">
        <f>VLOOKUP($G65,'Leistungswerte GR Schulen'!$C$6:$F$53,4,FALSE)</f>
        <v>0</v>
      </c>
      <c r="M65" s="129">
        <f t="shared" si="5"/>
        <v>0</v>
      </c>
      <c r="N65" s="129">
        <f t="shared" si="1"/>
        <v>0</v>
      </c>
      <c r="O65" s="547">
        <f t="shared" si="6"/>
        <v>0</v>
      </c>
      <c r="P65" s="130">
        <f t="shared" si="2"/>
        <v>0</v>
      </c>
      <c r="Q65" s="131">
        <f t="shared" si="3"/>
        <v>0</v>
      </c>
      <c r="R65" s="578">
        <f t="shared" si="7"/>
        <v>1</v>
      </c>
    </row>
    <row r="66" spans="1:18" s="57" customFormat="1" ht="24.9" customHeight="1" x14ac:dyDescent="0.25">
      <c r="A66" s="470" t="str">
        <f>'Kalk UHR GS Deisenhofen'!A66</f>
        <v>Schule</v>
      </c>
      <c r="B66" s="302" t="str">
        <f>'Kalk UHR GS Deisenhofen'!B66</f>
        <v>OG</v>
      </c>
      <c r="C66" s="302" t="str">
        <f>'Kalk UHR GS Deisenhofen'!C66</f>
        <v>1.D.45</v>
      </c>
      <c r="D66" s="302" t="str">
        <f>'Kalk UHR GS Deisenhofen'!D66</f>
        <v>Klassen-/Fachraum 15</v>
      </c>
      <c r="E66" s="302" t="str">
        <f>'Kalk UHR GS Deisenhofen'!E66</f>
        <v>PVC</v>
      </c>
      <c r="F66" s="469" t="str">
        <f>'Kalk UHR GS Deisenhofen'!F66</f>
        <v>U1-W3</v>
      </c>
      <c r="G66" s="228" t="str">
        <f t="shared" si="8"/>
        <v>U1-J0,5</v>
      </c>
      <c r="H66" s="127">
        <f>'Kalk UHR GS Deisenhofen'!G66</f>
        <v>64.760000000000005</v>
      </c>
      <c r="I66" s="97" t="s">
        <v>909</v>
      </c>
      <c r="J66" s="328">
        <f>VLOOKUP(I66,Turnus!$D$9:$E$26,2,FALSE)</f>
        <v>0.5</v>
      </c>
      <c r="K66" s="127">
        <f t="shared" si="0"/>
        <v>32.380000000000003</v>
      </c>
      <c r="L66" s="128">
        <f>VLOOKUP($G66,'Leistungswerte GR Schulen'!$C$6:$F$53,4,FALSE)</f>
        <v>0</v>
      </c>
      <c r="M66" s="129">
        <f t="shared" si="5"/>
        <v>0</v>
      </c>
      <c r="N66" s="129">
        <f t="shared" si="1"/>
        <v>0</v>
      </c>
      <c r="O66" s="547">
        <f t="shared" si="6"/>
        <v>0</v>
      </c>
      <c r="P66" s="130">
        <f t="shared" si="2"/>
        <v>0</v>
      </c>
      <c r="Q66" s="131">
        <f t="shared" si="3"/>
        <v>0</v>
      </c>
      <c r="R66" s="578">
        <f t="shared" si="7"/>
        <v>1</v>
      </c>
    </row>
    <row r="67" spans="1:18" s="57" customFormat="1" ht="24.9" customHeight="1" x14ac:dyDescent="0.25">
      <c r="A67" s="470" t="str">
        <f>'Kalk UHR GS Deisenhofen'!A67</f>
        <v>Schule</v>
      </c>
      <c r="B67" s="302" t="str">
        <f>'Kalk UHR GS Deisenhofen'!B67</f>
        <v>OG</v>
      </c>
      <c r="C67" s="302" t="str">
        <f>'Kalk UHR GS Deisenhofen'!C67</f>
        <v>1.D.45a</v>
      </c>
      <c r="D67" s="302" t="str">
        <f>'Kalk UHR GS Deisenhofen'!D67</f>
        <v>Gruppenraum</v>
      </c>
      <c r="E67" s="302" t="str">
        <f>'Kalk UHR GS Deisenhofen'!E67</f>
        <v>PVC</v>
      </c>
      <c r="F67" s="469" t="str">
        <f>'Kalk UHR GS Deisenhofen'!F67</f>
        <v>G1-W3</v>
      </c>
      <c r="G67" s="228" t="str">
        <f t="shared" si="8"/>
        <v>G1-J0,5</v>
      </c>
      <c r="H67" s="127">
        <f>'Kalk UHR GS Deisenhofen'!G67</f>
        <v>37.33</v>
      </c>
      <c r="I67" s="97" t="s">
        <v>909</v>
      </c>
      <c r="J67" s="328">
        <f>VLOOKUP(I67,Turnus!$D$9:$E$26,2,FALSE)</f>
        <v>0.5</v>
      </c>
      <c r="K67" s="127">
        <f t="shared" si="0"/>
        <v>18.664999999999999</v>
      </c>
      <c r="L67" s="128">
        <f>VLOOKUP($G67,'Leistungswerte GR Schulen'!$C$6:$F$53,4,FALSE)</f>
        <v>0</v>
      </c>
      <c r="M67" s="129">
        <f t="shared" si="5"/>
        <v>0</v>
      </c>
      <c r="N67" s="129">
        <f t="shared" si="1"/>
        <v>0</v>
      </c>
      <c r="O67" s="547">
        <f t="shared" si="6"/>
        <v>0</v>
      </c>
      <c r="P67" s="130">
        <f t="shared" si="2"/>
        <v>0</v>
      </c>
      <c r="Q67" s="131">
        <f t="shared" si="3"/>
        <v>0</v>
      </c>
      <c r="R67" s="578">
        <f t="shared" si="7"/>
        <v>1</v>
      </c>
    </row>
    <row r="68" spans="1:18" s="57" customFormat="1" ht="24.9" customHeight="1" x14ac:dyDescent="0.25">
      <c r="A68" s="470" t="str">
        <f>'Kalk UHR GS Deisenhofen'!A68</f>
        <v>Schule</v>
      </c>
      <c r="B68" s="302" t="str">
        <f>'Kalk UHR GS Deisenhofen'!B68</f>
        <v>OG</v>
      </c>
      <c r="C68" s="302" t="str">
        <f>'Kalk UHR GS Deisenhofen'!C68</f>
        <v>1.D.46</v>
      </c>
      <c r="D68" s="302" t="str">
        <f>'Kalk UHR GS Deisenhofen'!D68</f>
        <v>Garderobe</v>
      </c>
      <c r="E68" s="302" t="str">
        <f>'Kalk UHR GS Deisenhofen'!E68</f>
        <v>Linoleum</v>
      </c>
      <c r="F68" s="469" t="str">
        <f>'Kalk UHR GS Deisenhofen'!F68</f>
        <v>H1-W3</v>
      </c>
      <c r="G68" s="228" t="str">
        <f t="shared" si="8"/>
        <v>H1-J0,5</v>
      </c>
      <c r="H68" s="127">
        <f>'Kalk UHR GS Deisenhofen'!G68</f>
        <v>12.78</v>
      </c>
      <c r="I68" s="97" t="s">
        <v>909</v>
      </c>
      <c r="J68" s="328">
        <f>VLOOKUP(I68,Turnus!$D$9:$E$26,2,FALSE)</f>
        <v>0.5</v>
      </c>
      <c r="K68" s="127">
        <f t="shared" si="0"/>
        <v>6.39</v>
      </c>
      <c r="L68" s="128">
        <f>VLOOKUP($G68,'Leistungswerte GR Schulen'!$C$6:$F$53,4,FALSE)</f>
        <v>0</v>
      </c>
      <c r="M68" s="129">
        <f t="shared" si="5"/>
        <v>0</v>
      </c>
      <c r="N68" s="129">
        <f t="shared" si="1"/>
        <v>0</v>
      </c>
      <c r="O68" s="547">
        <f t="shared" si="6"/>
        <v>0</v>
      </c>
      <c r="P68" s="130">
        <f t="shared" si="2"/>
        <v>0</v>
      </c>
      <c r="Q68" s="131">
        <f t="shared" si="3"/>
        <v>0</v>
      </c>
      <c r="R68" s="578">
        <f t="shared" si="7"/>
        <v>1</v>
      </c>
    </row>
    <row r="69" spans="1:18" s="57" customFormat="1" ht="24.9" customHeight="1" x14ac:dyDescent="0.25">
      <c r="A69" s="470" t="str">
        <f>'Kalk UHR GS Deisenhofen'!A69</f>
        <v>Schule</v>
      </c>
      <c r="B69" s="302" t="str">
        <f>'Kalk UHR GS Deisenhofen'!B69</f>
        <v>OG</v>
      </c>
      <c r="C69" s="302" t="str">
        <f>'Kalk UHR GS Deisenhofen'!C69</f>
        <v>1.D.47</v>
      </c>
      <c r="D69" s="302" t="str">
        <f>'Kalk UHR GS Deisenhofen'!D69</f>
        <v>Garderobe</v>
      </c>
      <c r="E69" s="302" t="str">
        <f>'Kalk UHR GS Deisenhofen'!E69</f>
        <v>Linoleum</v>
      </c>
      <c r="F69" s="469" t="str">
        <f>'Kalk UHR GS Deisenhofen'!F69</f>
        <v>H1-W3</v>
      </c>
      <c r="G69" s="228" t="str">
        <f t="shared" si="8"/>
        <v>H1-J0,5</v>
      </c>
      <c r="H69" s="127">
        <f>'Kalk UHR GS Deisenhofen'!G69</f>
        <v>12.78</v>
      </c>
      <c r="I69" s="97" t="s">
        <v>909</v>
      </c>
      <c r="J69" s="328">
        <f>VLOOKUP(I69,Turnus!$D$9:$E$26,2,FALSE)</f>
        <v>0.5</v>
      </c>
      <c r="K69" s="127">
        <f t="shared" si="0"/>
        <v>6.39</v>
      </c>
      <c r="L69" s="128">
        <f>VLOOKUP($G69,'Leistungswerte GR Schulen'!$C$6:$F$53,4,FALSE)</f>
        <v>0</v>
      </c>
      <c r="M69" s="129">
        <f t="shared" si="5"/>
        <v>0</v>
      </c>
      <c r="N69" s="129">
        <f t="shared" si="1"/>
        <v>0</v>
      </c>
      <c r="O69" s="547">
        <f t="shared" si="6"/>
        <v>0</v>
      </c>
      <c r="P69" s="130">
        <f t="shared" si="2"/>
        <v>0</v>
      </c>
      <c r="Q69" s="131">
        <f t="shared" si="3"/>
        <v>0</v>
      </c>
      <c r="R69" s="578">
        <f t="shared" si="7"/>
        <v>1</v>
      </c>
    </row>
    <row r="70" spans="1:18" s="57" customFormat="1" ht="24.9" customHeight="1" x14ac:dyDescent="0.25">
      <c r="A70" s="470" t="str">
        <f>'Kalk UHR GS Deisenhofen'!A70</f>
        <v>Schule</v>
      </c>
      <c r="B70" s="302" t="str">
        <f>'Kalk UHR GS Deisenhofen'!B70</f>
        <v>OG</v>
      </c>
      <c r="C70" s="302" t="str">
        <f>'Kalk UHR GS Deisenhofen'!C70</f>
        <v>1.D.48</v>
      </c>
      <c r="D70" s="302" t="str">
        <f>'Kalk UHR GS Deisenhofen'!D70</f>
        <v>Klassenraum 16</v>
      </c>
      <c r="E70" s="302" t="str">
        <f>'Kalk UHR GS Deisenhofen'!E70</f>
        <v>PVC</v>
      </c>
      <c r="F70" s="469" t="str">
        <f>'Kalk UHR GS Deisenhofen'!F70</f>
        <v>U1-W3</v>
      </c>
      <c r="G70" s="228" t="str">
        <f t="shared" si="8"/>
        <v>U1-J0,5</v>
      </c>
      <c r="H70" s="127">
        <f>'Kalk UHR GS Deisenhofen'!G70</f>
        <v>64.760000000000005</v>
      </c>
      <c r="I70" s="97" t="s">
        <v>909</v>
      </c>
      <c r="J70" s="328">
        <f>VLOOKUP(I70,Turnus!$D$9:$E$26,2,FALSE)</f>
        <v>0.5</v>
      </c>
      <c r="K70" s="127">
        <f t="shared" si="0"/>
        <v>32.380000000000003</v>
      </c>
      <c r="L70" s="128">
        <f>VLOOKUP($G70,'Leistungswerte GR Schulen'!$C$6:$F$53,4,FALSE)</f>
        <v>0</v>
      </c>
      <c r="M70" s="129">
        <f t="shared" si="5"/>
        <v>0</v>
      </c>
      <c r="N70" s="129">
        <f t="shared" si="1"/>
        <v>0</v>
      </c>
      <c r="O70" s="547">
        <f t="shared" si="6"/>
        <v>0</v>
      </c>
      <c r="P70" s="130">
        <f t="shared" si="2"/>
        <v>0</v>
      </c>
      <c r="Q70" s="131">
        <f t="shared" si="3"/>
        <v>0</v>
      </c>
      <c r="R70" s="578">
        <f t="shared" si="7"/>
        <v>1</v>
      </c>
    </row>
    <row r="71" spans="1:18" s="57" customFormat="1" ht="24.9" customHeight="1" x14ac:dyDescent="0.25">
      <c r="A71" s="470" t="str">
        <f>'Kalk UHR GS Deisenhofen'!A71</f>
        <v>Schule</v>
      </c>
      <c r="B71" s="302" t="str">
        <f>'Kalk UHR GS Deisenhofen'!B71</f>
        <v>OG</v>
      </c>
      <c r="C71" s="302" t="str">
        <f>'Kalk UHR GS Deisenhofen'!C71</f>
        <v>1.D.F.12</v>
      </c>
      <c r="D71" s="302" t="str">
        <f>'Kalk UHR GS Deisenhofen'!D71</f>
        <v>Flur</v>
      </c>
      <c r="E71" s="302" t="str">
        <f>'Kalk UHR GS Deisenhofen'!E71</f>
        <v>Linoleum</v>
      </c>
      <c r="F71" s="469" t="str">
        <f>'Kalk UHR GS Deisenhofen'!F71</f>
        <v>F1-W5</v>
      </c>
      <c r="G71" s="228" t="str">
        <f t="shared" si="8"/>
        <v>F1-J0,5</v>
      </c>
      <c r="H71" s="127">
        <f>'Kalk UHR GS Deisenhofen'!G71</f>
        <v>49.24</v>
      </c>
      <c r="I71" s="97" t="s">
        <v>909</v>
      </c>
      <c r="J71" s="328">
        <f>VLOOKUP(I71,Turnus!$D$9:$E$26,2,FALSE)</f>
        <v>0.5</v>
      </c>
      <c r="K71" s="127">
        <f t="shared" si="0"/>
        <v>24.62</v>
      </c>
      <c r="L71" s="128">
        <f>VLOOKUP($G71,'Leistungswerte GR Schulen'!$C$6:$F$53,4,FALSE)</f>
        <v>0</v>
      </c>
      <c r="M71" s="129">
        <f t="shared" si="5"/>
        <v>0</v>
      </c>
      <c r="N71" s="129">
        <f t="shared" si="1"/>
        <v>0</v>
      </c>
      <c r="O71" s="547">
        <f t="shared" si="6"/>
        <v>0</v>
      </c>
      <c r="P71" s="130">
        <f t="shared" si="2"/>
        <v>0</v>
      </c>
      <c r="Q71" s="131">
        <f t="shared" si="3"/>
        <v>0</v>
      </c>
      <c r="R71" s="578">
        <f t="shared" si="7"/>
        <v>1</v>
      </c>
    </row>
    <row r="72" spans="1:18" s="57" customFormat="1" ht="24.9" customHeight="1" x14ac:dyDescent="0.25">
      <c r="A72" s="533" t="str">
        <f>'Kalk UHR GS Deisenhofen'!A72</f>
        <v>Hort</v>
      </c>
      <c r="B72" s="302" t="str">
        <f>'Kalk UHR GS Deisenhofen'!B72</f>
        <v>OG</v>
      </c>
      <c r="C72" s="302" t="str">
        <f>'Kalk UHR GS Deisenhofen'!C72</f>
        <v>1.D.41</v>
      </c>
      <c r="D72" s="302" t="str">
        <f>'Kalk UHR GS Deisenhofen'!D72</f>
        <v>Bewegungsraum 1</v>
      </c>
      <c r="E72" s="302" t="str">
        <f>'Kalk UHR GS Deisenhofen'!E72</f>
        <v>PVC</v>
      </c>
      <c r="F72" s="469" t="str">
        <f>'Kalk UHR GS Deisenhofen'!F72</f>
        <v>N2-W5</v>
      </c>
      <c r="G72" s="228" t="str">
        <f t="shared" si="8"/>
        <v>N2-J0,5</v>
      </c>
      <c r="H72" s="127">
        <f>'Kalk UHR GS Deisenhofen'!G72</f>
        <v>90.89</v>
      </c>
      <c r="I72" s="97" t="s">
        <v>909</v>
      </c>
      <c r="J72" s="328">
        <f>VLOOKUP(I72,Turnus!$H$9:$I$26,2,FALSE)</f>
        <v>0.5</v>
      </c>
      <c r="K72" s="127">
        <f t="shared" si="0"/>
        <v>45.445</v>
      </c>
      <c r="L72" s="128">
        <f>VLOOKUP($G72,'Leistungswerte GR Kigas'!$C$6:$F$53,4,FALSE)</f>
        <v>0</v>
      </c>
      <c r="M72" s="129">
        <f t="shared" si="5"/>
        <v>0</v>
      </c>
      <c r="N72" s="129">
        <f t="shared" si="1"/>
        <v>0</v>
      </c>
      <c r="O72" s="547">
        <f t="shared" si="6"/>
        <v>0</v>
      </c>
      <c r="P72" s="130">
        <f t="shared" si="2"/>
        <v>0</v>
      </c>
      <c r="Q72" s="131">
        <f t="shared" si="3"/>
        <v>0</v>
      </c>
      <c r="R72" s="578">
        <f t="shared" si="7"/>
        <v>2</v>
      </c>
    </row>
    <row r="73" spans="1:18" s="57" customFormat="1" ht="24.9" customHeight="1" x14ac:dyDescent="0.25">
      <c r="A73" s="533" t="str">
        <f>'Kalk UHR GS Deisenhofen'!A73</f>
        <v>Hort</v>
      </c>
      <c r="B73" s="302" t="str">
        <f>'Kalk UHR GS Deisenhofen'!B73</f>
        <v>OG</v>
      </c>
      <c r="C73" s="302" t="str">
        <f>'Kalk UHR GS Deisenhofen'!C73</f>
        <v>1.D.F.13</v>
      </c>
      <c r="D73" s="302" t="str">
        <f>'Kalk UHR GS Deisenhofen'!D73</f>
        <v>Flur</v>
      </c>
      <c r="E73" s="302" t="str">
        <f>'Kalk UHR GS Deisenhofen'!E73</f>
        <v>Linoleum</v>
      </c>
      <c r="F73" s="469" t="str">
        <f>'Kalk UHR GS Deisenhofen'!F73</f>
        <v>F1-W5</v>
      </c>
      <c r="G73" s="228" t="str">
        <f t="shared" si="8"/>
        <v>F1-J0,5</v>
      </c>
      <c r="H73" s="127">
        <f>'Kalk UHR GS Deisenhofen'!G73</f>
        <v>32.08</v>
      </c>
      <c r="I73" s="97" t="s">
        <v>909</v>
      </c>
      <c r="J73" s="328">
        <f>VLOOKUP(I73,Turnus!$H$9:$I$26,2,FALSE)</f>
        <v>0.5</v>
      </c>
      <c r="K73" s="127">
        <f t="shared" si="0"/>
        <v>16.04</v>
      </c>
      <c r="L73" s="128">
        <f>VLOOKUP($G73,'Leistungswerte GR Kigas'!$C$6:$F$53,4,FALSE)</f>
        <v>0</v>
      </c>
      <c r="M73" s="129">
        <f t="shared" ref="M73:M136" si="9">IF(ISERROR(H73/L73),0,H73/L73)</f>
        <v>0</v>
      </c>
      <c r="N73" s="129">
        <f t="shared" si="1"/>
        <v>0</v>
      </c>
      <c r="O73" s="547">
        <f t="shared" si="6"/>
        <v>0</v>
      </c>
      <c r="P73" s="130">
        <f t="shared" si="2"/>
        <v>0</v>
      </c>
      <c r="Q73" s="131">
        <f t="shared" si="3"/>
        <v>0</v>
      </c>
      <c r="R73" s="578">
        <f t="shared" ref="R73:R136" si="10">IF(A73="Schule",1,IF(A73="Sporthalle",1,2))</f>
        <v>2</v>
      </c>
    </row>
    <row r="74" spans="1:18" s="57" customFormat="1" ht="24.9" customHeight="1" x14ac:dyDescent="0.25">
      <c r="A74" s="533" t="str">
        <f>'Kalk UHR GS Deisenhofen'!A74</f>
        <v>Hort</v>
      </c>
      <c r="B74" s="302" t="str">
        <f>'Kalk UHR GS Deisenhofen'!B74</f>
        <v>OG</v>
      </c>
      <c r="C74" s="302" t="str">
        <f>'Kalk UHR GS Deisenhofen'!C74</f>
        <v>1.D.42</v>
      </c>
      <c r="D74" s="302" t="str">
        <f>'Kalk UHR GS Deisenhofen'!D74</f>
        <v>WC-Mädchen</v>
      </c>
      <c r="E74" s="302" t="str">
        <f>'Kalk UHR GS Deisenhofen'!E74</f>
        <v>Fliesen</v>
      </c>
      <c r="F74" s="469" t="str">
        <f>'Kalk UHR GS Deisenhofen'!F74</f>
        <v>S1-W5</v>
      </c>
      <c r="G74" s="228" t="str">
        <f t="shared" si="8"/>
        <v>S1-J1</v>
      </c>
      <c r="H74" s="127">
        <f>'Kalk UHR GS Deisenhofen'!G74</f>
        <v>11.47</v>
      </c>
      <c r="I74" s="97" t="s">
        <v>54</v>
      </c>
      <c r="J74" s="328">
        <f>VLOOKUP(I74,Turnus!$H$9:$I$26,2,FALSE)</f>
        <v>1</v>
      </c>
      <c r="K74" s="127">
        <f t="shared" si="0"/>
        <v>11.47</v>
      </c>
      <c r="L74" s="128">
        <f>VLOOKUP($G74,'Leistungswerte GR Kigas'!$C$6:$F$53,4,FALSE)</f>
        <v>0</v>
      </c>
      <c r="M74" s="129">
        <f t="shared" si="9"/>
        <v>0</v>
      </c>
      <c r="N74" s="129">
        <f t="shared" si="1"/>
        <v>0</v>
      </c>
      <c r="O74" s="547">
        <f t="shared" si="6"/>
        <v>0</v>
      </c>
      <c r="P74" s="130">
        <f t="shared" si="2"/>
        <v>0</v>
      </c>
      <c r="Q74" s="131">
        <f t="shared" si="3"/>
        <v>0</v>
      </c>
      <c r="R74" s="578">
        <f t="shared" si="10"/>
        <v>2</v>
      </c>
    </row>
    <row r="75" spans="1:18" s="57" customFormat="1" ht="24.9" customHeight="1" x14ac:dyDescent="0.25">
      <c r="A75" s="533" t="str">
        <f>'Kalk UHR GS Deisenhofen'!A75</f>
        <v>Hort</v>
      </c>
      <c r="B75" s="302" t="str">
        <f>'Kalk UHR GS Deisenhofen'!B75</f>
        <v>OG</v>
      </c>
      <c r="C75" s="302" t="str">
        <f>'Kalk UHR GS Deisenhofen'!C75</f>
        <v>1.D.43</v>
      </c>
      <c r="D75" s="302" t="str">
        <f>'Kalk UHR GS Deisenhofen'!D75</f>
        <v>WC-Behinderte</v>
      </c>
      <c r="E75" s="302" t="str">
        <f>'Kalk UHR GS Deisenhofen'!E75</f>
        <v>Fliesen</v>
      </c>
      <c r="F75" s="469" t="str">
        <f>'Kalk UHR GS Deisenhofen'!F75</f>
        <v>S1-W5</v>
      </c>
      <c r="G75" s="228" t="str">
        <f t="shared" si="8"/>
        <v>S1-J1</v>
      </c>
      <c r="H75" s="127">
        <f>'Kalk UHR GS Deisenhofen'!G75</f>
        <v>7.42</v>
      </c>
      <c r="I75" s="97" t="s">
        <v>54</v>
      </c>
      <c r="J75" s="328">
        <f>VLOOKUP(I75,Turnus!$H$9:$I$26,2,FALSE)</f>
        <v>1</v>
      </c>
      <c r="K75" s="127">
        <f t="shared" si="0"/>
        <v>7.42</v>
      </c>
      <c r="L75" s="128">
        <f>VLOOKUP($G75,'Leistungswerte GR Kigas'!$C$6:$F$53,4,FALSE)</f>
        <v>0</v>
      </c>
      <c r="M75" s="129">
        <f t="shared" si="9"/>
        <v>0</v>
      </c>
      <c r="N75" s="129">
        <f t="shared" si="1"/>
        <v>0</v>
      </c>
      <c r="O75" s="547">
        <f t="shared" si="6"/>
        <v>0</v>
      </c>
      <c r="P75" s="130">
        <f t="shared" si="2"/>
        <v>0</v>
      </c>
      <c r="Q75" s="131">
        <f t="shared" si="3"/>
        <v>0</v>
      </c>
      <c r="R75" s="578">
        <f t="shared" si="10"/>
        <v>2</v>
      </c>
    </row>
    <row r="76" spans="1:18" s="57" customFormat="1" ht="24.9" customHeight="1" x14ac:dyDescent="0.25">
      <c r="A76" s="533" t="str">
        <f>'Kalk UHR GS Deisenhofen'!A76</f>
        <v>Hort</v>
      </c>
      <c r="B76" s="302" t="str">
        <f>'Kalk UHR GS Deisenhofen'!B76</f>
        <v>OG</v>
      </c>
      <c r="C76" s="302" t="str">
        <f>'Kalk UHR GS Deisenhofen'!C76</f>
        <v>1.D.44</v>
      </c>
      <c r="D76" s="302" t="str">
        <f>'Kalk UHR GS Deisenhofen'!D76</f>
        <v>WC-Jungen</v>
      </c>
      <c r="E76" s="302" t="str">
        <f>'Kalk UHR GS Deisenhofen'!E76</f>
        <v>Fliesen</v>
      </c>
      <c r="F76" s="469" t="str">
        <f>'Kalk UHR GS Deisenhofen'!F76</f>
        <v>S1-W5</v>
      </c>
      <c r="G76" s="228" t="str">
        <f t="shared" si="8"/>
        <v>S1-J1</v>
      </c>
      <c r="H76" s="127">
        <f>'Kalk UHR GS Deisenhofen'!G76</f>
        <v>11.47</v>
      </c>
      <c r="I76" s="97" t="s">
        <v>54</v>
      </c>
      <c r="J76" s="328">
        <f>VLOOKUP(I76,Turnus!$H$9:$I$26,2,FALSE)</f>
        <v>1</v>
      </c>
      <c r="K76" s="127">
        <f t="shared" si="0"/>
        <v>11.47</v>
      </c>
      <c r="L76" s="128">
        <f>VLOOKUP($G76,'Leistungswerte GR Kigas'!$C$6:$F$53,4,FALSE)</f>
        <v>0</v>
      </c>
      <c r="M76" s="129">
        <f t="shared" si="9"/>
        <v>0</v>
      </c>
      <c r="N76" s="129">
        <f t="shared" si="1"/>
        <v>0</v>
      </c>
      <c r="O76" s="547">
        <f t="shared" si="6"/>
        <v>0</v>
      </c>
      <c r="P76" s="130">
        <f t="shared" si="2"/>
        <v>0</v>
      </c>
      <c r="Q76" s="131">
        <f t="shared" si="3"/>
        <v>0</v>
      </c>
      <c r="R76" s="578">
        <f t="shared" si="10"/>
        <v>2</v>
      </c>
    </row>
    <row r="77" spans="1:18" s="57" customFormat="1" ht="24.9" customHeight="1" x14ac:dyDescent="0.25">
      <c r="A77" s="533" t="str">
        <f>'Kalk UHR GS Deisenhofen'!A77</f>
        <v>Hort</v>
      </c>
      <c r="B77" s="302" t="str">
        <f>'Kalk UHR GS Deisenhofen'!B77</f>
        <v>OG</v>
      </c>
      <c r="C77" s="302" t="str">
        <f>'Kalk UHR GS Deisenhofen'!C77</f>
        <v>1.D.F.14</v>
      </c>
      <c r="D77" s="302" t="str">
        <f>'Kalk UHR GS Deisenhofen'!D77</f>
        <v>Flur</v>
      </c>
      <c r="E77" s="302" t="str">
        <f>'Kalk UHR GS Deisenhofen'!E77</f>
        <v>Linoleum</v>
      </c>
      <c r="F77" s="469" t="str">
        <f>'Kalk UHR GS Deisenhofen'!F77</f>
        <v>F1-W5</v>
      </c>
      <c r="G77" s="228" t="str">
        <f t="shared" si="8"/>
        <v>F1-J0,5</v>
      </c>
      <c r="H77" s="127">
        <f>'Kalk UHR GS Deisenhofen'!G77</f>
        <v>49.07</v>
      </c>
      <c r="I77" s="97" t="s">
        <v>909</v>
      </c>
      <c r="J77" s="328">
        <f>VLOOKUP(I77,Turnus!$H$9:$I$26,2,FALSE)</f>
        <v>0.5</v>
      </c>
      <c r="K77" s="127">
        <f t="shared" ref="K77:K97" si="11">+H77*J77</f>
        <v>24.535</v>
      </c>
      <c r="L77" s="128">
        <f>VLOOKUP($G77,'Leistungswerte GR Kigas'!$C$6:$F$53,4,FALSE)</f>
        <v>0</v>
      </c>
      <c r="M77" s="129">
        <f t="shared" si="9"/>
        <v>0</v>
      </c>
      <c r="N77" s="129">
        <f t="shared" ref="N77:N97" si="12">IF(ISERROR(K77/L77),0,K77/L77)</f>
        <v>0</v>
      </c>
      <c r="O77" s="547">
        <f t="shared" si="6"/>
        <v>0</v>
      </c>
      <c r="P77" s="130">
        <f t="shared" ref="P77:P97" si="13">IF(ISERROR(H77/L77*O77),0,H77/L77*O77)</f>
        <v>0</v>
      </c>
      <c r="Q77" s="131">
        <f t="shared" ref="Q77:Q97" si="14">+N77*O77</f>
        <v>0</v>
      </c>
      <c r="R77" s="578">
        <f t="shared" si="10"/>
        <v>2</v>
      </c>
    </row>
    <row r="78" spans="1:18" s="57" customFormat="1" ht="24.9" customHeight="1" x14ac:dyDescent="0.25">
      <c r="A78" s="533" t="str">
        <f>'Kalk UHR GS Deisenhofen'!A78</f>
        <v>Hort</v>
      </c>
      <c r="B78" s="302" t="str">
        <f>'Kalk UHR GS Deisenhofen'!B78</f>
        <v>OG</v>
      </c>
      <c r="C78" s="302" t="str">
        <f>'Kalk UHR GS Deisenhofen'!C78</f>
        <v>1.D.49</v>
      </c>
      <c r="D78" s="302" t="str">
        <f>'Kalk UHR GS Deisenhofen'!D78</f>
        <v>Gruppenraum</v>
      </c>
      <c r="E78" s="302" t="str">
        <f>'Kalk UHR GS Deisenhofen'!E78</f>
        <v>PVC</v>
      </c>
      <c r="F78" s="469" t="str">
        <f>'Kalk UHR GS Deisenhofen'!F78</f>
        <v>G1-W5</v>
      </c>
      <c r="G78" s="228" t="str">
        <f t="shared" si="8"/>
        <v>G1-J0,5</v>
      </c>
      <c r="H78" s="127">
        <f>'Kalk UHR GS Deisenhofen'!G78</f>
        <v>64.760000000000005</v>
      </c>
      <c r="I78" s="97" t="s">
        <v>909</v>
      </c>
      <c r="J78" s="328">
        <f>VLOOKUP(I78,Turnus!$H$9:$I$26,2,FALSE)</f>
        <v>0.5</v>
      </c>
      <c r="K78" s="127">
        <f t="shared" si="11"/>
        <v>32.380000000000003</v>
      </c>
      <c r="L78" s="128">
        <f>VLOOKUP($G78,'Leistungswerte GR Kigas'!$C$6:$F$53,4,FALSE)</f>
        <v>0</v>
      </c>
      <c r="M78" s="129">
        <f t="shared" si="9"/>
        <v>0</v>
      </c>
      <c r="N78" s="129">
        <f t="shared" si="12"/>
        <v>0</v>
      </c>
      <c r="O78" s="547">
        <f t="shared" si="6"/>
        <v>0</v>
      </c>
      <c r="P78" s="130">
        <f t="shared" si="13"/>
        <v>0</v>
      </c>
      <c r="Q78" s="131">
        <f t="shared" si="14"/>
        <v>0</v>
      </c>
      <c r="R78" s="578">
        <f t="shared" si="10"/>
        <v>2</v>
      </c>
    </row>
    <row r="79" spans="1:18" s="57" customFormat="1" ht="24.9" customHeight="1" x14ac:dyDescent="0.25">
      <c r="A79" s="533" t="str">
        <f>'Kalk UHR GS Deisenhofen'!A79</f>
        <v>Hort</v>
      </c>
      <c r="B79" s="302" t="str">
        <f>'Kalk UHR GS Deisenhofen'!B79</f>
        <v>OG</v>
      </c>
      <c r="C79" s="302" t="str">
        <f>'Kalk UHR GS Deisenhofen'!C79</f>
        <v>1.D.50</v>
      </c>
      <c r="D79" s="302" t="str">
        <f>'Kalk UHR GS Deisenhofen'!D79</f>
        <v>Gruppenraum</v>
      </c>
      <c r="E79" s="302" t="str">
        <f>'Kalk UHR GS Deisenhofen'!E79</f>
        <v>PVC</v>
      </c>
      <c r="F79" s="469" t="str">
        <f>'Kalk UHR GS Deisenhofen'!F79</f>
        <v>G1-W5</v>
      </c>
      <c r="G79" s="228" t="str">
        <f t="shared" si="8"/>
        <v>G1-J0,5</v>
      </c>
      <c r="H79" s="127">
        <f>'Kalk UHR GS Deisenhofen'!G79</f>
        <v>31.88</v>
      </c>
      <c r="I79" s="97" t="s">
        <v>909</v>
      </c>
      <c r="J79" s="328">
        <f>VLOOKUP(I79,Turnus!$H$9:$I$26,2,FALSE)</f>
        <v>0.5</v>
      </c>
      <c r="K79" s="127">
        <f t="shared" si="11"/>
        <v>15.94</v>
      </c>
      <c r="L79" s="128">
        <f>VLOOKUP($G79,'Leistungswerte GR Kigas'!$C$6:$F$53,4,FALSE)</f>
        <v>0</v>
      </c>
      <c r="M79" s="129">
        <f t="shared" si="9"/>
        <v>0</v>
      </c>
      <c r="N79" s="129">
        <f t="shared" si="12"/>
        <v>0</v>
      </c>
      <c r="O79" s="547">
        <f t="shared" si="6"/>
        <v>0</v>
      </c>
      <c r="P79" s="130">
        <f t="shared" si="13"/>
        <v>0</v>
      </c>
      <c r="Q79" s="131">
        <f t="shared" si="14"/>
        <v>0</v>
      </c>
      <c r="R79" s="578">
        <f t="shared" si="10"/>
        <v>2</v>
      </c>
    </row>
    <row r="80" spans="1:18" s="57" customFormat="1" ht="24.9" customHeight="1" x14ac:dyDescent="0.25">
      <c r="A80" s="533" t="str">
        <f>'Kalk UHR GS Deisenhofen'!A80</f>
        <v>Hort</v>
      </c>
      <c r="B80" s="302" t="str">
        <f>'Kalk UHR GS Deisenhofen'!B80</f>
        <v>OG</v>
      </c>
      <c r="C80" s="302" t="str">
        <f>'Kalk UHR GS Deisenhofen'!C80</f>
        <v>1.D.51</v>
      </c>
      <c r="D80" s="302" t="str">
        <f>'Kalk UHR GS Deisenhofen'!D80</f>
        <v>Brettspielraum</v>
      </c>
      <c r="E80" s="302" t="str">
        <f>'Kalk UHR GS Deisenhofen'!E80</f>
        <v>PVC</v>
      </c>
      <c r="F80" s="469" t="str">
        <f>'Kalk UHR GS Deisenhofen'!F80</f>
        <v>G1-W5</v>
      </c>
      <c r="G80" s="228" t="str">
        <f t="shared" si="8"/>
        <v>G1-J0,5</v>
      </c>
      <c r="H80" s="127">
        <f>'Kalk UHR GS Deisenhofen'!G80</f>
        <v>31.88</v>
      </c>
      <c r="I80" s="97" t="s">
        <v>909</v>
      </c>
      <c r="J80" s="328">
        <f>VLOOKUP(I80,Turnus!$H$9:$I$26,2,FALSE)</f>
        <v>0.5</v>
      </c>
      <c r="K80" s="127">
        <f t="shared" si="11"/>
        <v>15.94</v>
      </c>
      <c r="L80" s="128">
        <f>VLOOKUP($G80,'Leistungswerte GR Kigas'!$C$6:$F$53,4,FALSE)</f>
        <v>0</v>
      </c>
      <c r="M80" s="129">
        <f t="shared" si="9"/>
        <v>0</v>
      </c>
      <c r="N80" s="129">
        <f t="shared" si="12"/>
        <v>0</v>
      </c>
      <c r="O80" s="547">
        <f t="shared" si="6"/>
        <v>0</v>
      </c>
      <c r="P80" s="130">
        <f t="shared" si="13"/>
        <v>0</v>
      </c>
      <c r="Q80" s="131">
        <f t="shared" si="14"/>
        <v>0</v>
      </c>
      <c r="R80" s="578">
        <f t="shared" si="10"/>
        <v>2</v>
      </c>
    </row>
    <row r="81" spans="1:18" s="57" customFormat="1" ht="24.9" customHeight="1" x14ac:dyDescent="0.25">
      <c r="A81" s="533" t="str">
        <f>'Kalk UHR GS Deisenhofen'!A81</f>
        <v>Hort</v>
      </c>
      <c r="B81" s="302" t="str">
        <f>'Kalk UHR GS Deisenhofen'!B81</f>
        <v>OG</v>
      </c>
      <c r="C81" s="302" t="str">
        <f>'Kalk UHR GS Deisenhofen'!C81</f>
        <v>1.D.52</v>
      </c>
      <c r="D81" s="302" t="str">
        <f>'Kalk UHR GS Deisenhofen'!D81</f>
        <v>Gruppenraum</v>
      </c>
      <c r="E81" s="302" t="str">
        <f>'Kalk UHR GS Deisenhofen'!E81</f>
        <v>PVC</v>
      </c>
      <c r="F81" s="469" t="str">
        <f>'Kalk UHR GS Deisenhofen'!F81</f>
        <v>G1-W5</v>
      </c>
      <c r="G81" s="228" t="str">
        <f t="shared" si="8"/>
        <v>G1-J0,5</v>
      </c>
      <c r="H81" s="127">
        <f>'Kalk UHR GS Deisenhofen'!G81</f>
        <v>64.760000000000005</v>
      </c>
      <c r="I81" s="97" t="s">
        <v>909</v>
      </c>
      <c r="J81" s="328">
        <f>VLOOKUP(I81,Turnus!$H$9:$I$26,2,FALSE)</f>
        <v>0.5</v>
      </c>
      <c r="K81" s="127">
        <f t="shared" si="11"/>
        <v>32.380000000000003</v>
      </c>
      <c r="L81" s="128">
        <f>VLOOKUP($G81,'Leistungswerte GR Kigas'!$C$6:$F$53,4,FALSE)</f>
        <v>0</v>
      </c>
      <c r="M81" s="129">
        <f t="shared" si="9"/>
        <v>0</v>
      </c>
      <c r="N81" s="129">
        <f t="shared" si="12"/>
        <v>0</v>
      </c>
      <c r="O81" s="547">
        <f t="shared" si="6"/>
        <v>0</v>
      </c>
      <c r="P81" s="130">
        <f t="shared" si="13"/>
        <v>0</v>
      </c>
      <c r="Q81" s="131">
        <f t="shared" si="14"/>
        <v>0</v>
      </c>
      <c r="R81" s="578">
        <f t="shared" si="10"/>
        <v>2</v>
      </c>
    </row>
    <row r="82" spans="1:18" s="57" customFormat="1" ht="24.9" customHeight="1" x14ac:dyDescent="0.25">
      <c r="A82" s="533" t="str">
        <f>'Kalk UHR GS Deisenhofen'!A82</f>
        <v>Hort</v>
      </c>
      <c r="B82" s="302" t="str">
        <f>'Kalk UHR GS Deisenhofen'!B82</f>
        <v>OG</v>
      </c>
      <c r="C82" s="302" t="str">
        <f>'Kalk UHR GS Deisenhofen'!C82</f>
        <v>1.D.F.15</v>
      </c>
      <c r="D82" s="302" t="str">
        <f>'Kalk UHR GS Deisenhofen'!D82</f>
        <v>Flur</v>
      </c>
      <c r="E82" s="302" t="str">
        <f>'Kalk UHR GS Deisenhofen'!E82</f>
        <v>Linoleum</v>
      </c>
      <c r="F82" s="469" t="str">
        <f>'Kalk UHR GS Deisenhofen'!F82</f>
        <v>F1-W5</v>
      </c>
      <c r="G82" s="228" t="str">
        <f t="shared" si="8"/>
        <v>F1-J0,5</v>
      </c>
      <c r="H82" s="127">
        <f>'Kalk UHR GS Deisenhofen'!G82</f>
        <v>66.97</v>
      </c>
      <c r="I82" s="97" t="s">
        <v>909</v>
      </c>
      <c r="J82" s="328">
        <f>VLOOKUP(I82,Turnus!$H$9:$I$26,2,FALSE)</f>
        <v>0.5</v>
      </c>
      <c r="K82" s="127">
        <f t="shared" si="11"/>
        <v>33.484999999999999</v>
      </c>
      <c r="L82" s="128">
        <f>VLOOKUP($G82,'Leistungswerte GR Kigas'!$C$6:$F$53,4,FALSE)</f>
        <v>0</v>
      </c>
      <c r="M82" s="129">
        <f t="shared" si="9"/>
        <v>0</v>
      </c>
      <c r="N82" s="129">
        <f t="shared" si="12"/>
        <v>0</v>
      </c>
      <c r="O82" s="547">
        <f t="shared" si="6"/>
        <v>0</v>
      </c>
      <c r="P82" s="130">
        <f t="shared" si="13"/>
        <v>0</v>
      </c>
      <c r="Q82" s="131">
        <f t="shared" si="14"/>
        <v>0</v>
      </c>
      <c r="R82" s="578">
        <f t="shared" si="10"/>
        <v>2</v>
      </c>
    </row>
    <row r="83" spans="1:18" s="57" customFormat="1" ht="24.9" customHeight="1" x14ac:dyDescent="0.25">
      <c r="A83" s="533" t="str">
        <f>'Kalk UHR GS Deisenhofen'!A83</f>
        <v>Hort</v>
      </c>
      <c r="B83" s="302" t="str">
        <f>'Kalk UHR GS Deisenhofen'!B83</f>
        <v>OG</v>
      </c>
      <c r="C83" s="302" t="str">
        <f>'Kalk UHR GS Deisenhofen'!C83</f>
        <v>1.D.T.07</v>
      </c>
      <c r="D83" s="302" t="str">
        <f>'Kalk UHR GS Deisenhofen'!D83</f>
        <v>Treppe</v>
      </c>
      <c r="E83" s="302" t="str">
        <f>'Kalk UHR GS Deisenhofen'!E83</f>
        <v>Naturstein</v>
      </c>
      <c r="F83" s="469" t="str">
        <f>'Kalk UHR GS Deisenhofen'!F83</f>
        <v>F3-W5</v>
      </c>
      <c r="G83" s="228" t="str">
        <f t="shared" si="8"/>
        <v>F3-J0,5</v>
      </c>
      <c r="H83" s="127">
        <f>'Kalk UHR GS Deisenhofen'!G83</f>
        <v>23.29</v>
      </c>
      <c r="I83" s="97" t="s">
        <v>909</v>
      </c>
      <c r="J83" s="328">
        <f>VLOOKUP(I83,Turnus!$H$9:$I$26,2,FALSE)</f>
        <v>0.5</v>
      </c>
      <c r="K83" s="127">
        <f t="shared" si="11"/>
        <v>11.645</v>
      </c>
      <c r="L83" s="128">
        <f>VLOOKUP($G83,'Leistungswerte GR Kigas'!$C$6:$F$53,4,FALSE)</f>
        <v>0</v>
      </c>
      <c r="M83" s="129">
        <f t="shared" si="9"/>
        <v>0</v>
      </c>
      <c r="N83" s="129">
        <f t="shared" si="12"/>
        <v>0</v>
      </c>
      <c r="O83" s="547">
        <f t="shared" si="6"/>
        <v>0</v>
      </c>
      <c r="P83" s="130">
        <f t="shared" si="13"/>
        <v>0</v>
      </c>
      <c r="Q83" s="131">
        <f t="shared" si="14"/>
        <v>0</v>
      </c>
      <c r="R83" s="578">
        <f t="shared" si="10"/>
        <v>2</v>
      </c>
    </row>
    <row r="84" spans="1:18" s="57" customFormat="1" ht="24.9" customHeight="1" x14ac:dyDescent="0.25">
      <c r="A84" s="470" t="str">
        <f>'Kalk UHR GS Deisenhofen'!A84</f>
        <v>Sporthalle</v>
      </c>
      <c r="B84" s="302" t="str">
        <f>'Kalk UHR GS Deisenhofen'!B84</f>
        <v>EG</v>
      </c>
      <c r="C84" s="302" t="str">
        <f>'Kalk UHR GS Deisenhofen'!C84</f>
        <v>E.A.01</v>
      </c>
      <c r="D84" s="302" t="str">
        <f>'Kalk UHR GS Deisenhofen'!D84</f>
        <v>Tribünen</v>
      </c>
      <c r="E84" s="302" t="str">
        <f>'Kalk UHR GS Deisenhofen'!E84</f>
        <v>Epoxid</v>
      </c>
      <c r="F84" s="469" t="str">
        <f>'Kalk UHR GS Deisenhofen'!F84</f>
        <v>F4-W3</v>
      </c>
      <c r="G84" s="228" t="str">
        <f t="shared" si="8"/>
        <v>F4-J0,5</v>
      </c>
      <c r="H84" s="127">
        <f>'Kalk UHR GS Deisenhofen'!G84</f>
        <v>97.85</v>
      </c>
      <c r="I84" s="97" t="s">
        <v>909</v>
      </c>
      <c r="J84" s="328">
        <f>VLOOKUP(I84,Turnus!$D$9:$E$26,2,FALSE)</f>
        <v>0.5</v>
      </c>
      <c r="K84" s="127">
        <f t="shared" si="11"/>
        <v>48.924999999999997</v>
      </c>
      <c r="L84" s="128">
        <f>VLOOKUP($G84,'Leistungswerte GR Schulen'!$C$6:$F$53,4,FALSE)</f>
        <v>0</v>
      </c>
      <c r="M84" s="129">
        <f t="shared" si="9"/>
        <v>0</v>
      </c>
      <c r="N84" s="129">
        <f t="shared" si="12"/>
        <v>0</v>
      </c>
      <c r="O84" s="547">
        <f t="shared" si="6"/>
        <v>0</v>
      </c>
      <c r="P84" s="130">
        <f t="shared" si="13"/>
        <v>0</v>
      </c>
      <c r="Q84" s="131">
        <f t="shared" si="14"/>
        <v>0</v>
      </c>
      <c r="R84" s="578">
        <f t="shared" si="10"/>
        <v>1</v>
      </c>
    </row>
    <row r="85" spans="1:18" s="57" customFormat="1" ht="24.9" customHeight="1" x14ac:dyDescent="0.25">
      <c r="A85" s="470" t="str">
        <f>'Kalk UHR GS Deisenhofen'!A85</f>
        <v>Sporthalle</v>
      </c>
      <c r="B85" s="302" t="str">
        <f>'Kalk UHR GS Deisenhofen'!B85</f>
        <v>EG</v>
      </c>
      <c r="C85" s="302" t="str">
        <f>'Kalk UHR GS Deisenhofen'!C85</f>
        <v>E.A.02</v>
      </c>
      <c r="D85" s="302" t="str">
        <f>'Kalk UHR GS Deisenhofen'!D85</f>
        <v>Foyer</v>
      </c>
      <c r="E85" s="302" t="str">
        <f>'Kalk UHR GS Deisenhofen'!E85</f>
        <v>Naturstein</v>
      </c>
      <c r="F85" s="469" t="str">
        <f>'Kalk UHR GS Deisenhofen'!F85</f>
        <v>E1-W5</v>
      </c>
      <c r="G85" s="228" t="str">
        <f t="shared" si="8"/>
        <v>E1-J0,5</v>
      </c>
      <c r="H85" s="127">
        <f>'Kalk UHR GS Deisenhofen'!G85</f>
        <v>199.03</v>
      </c>
      <c r="I85" s="97" t="s">
        <v>909</v>
      </c>
      <c r="J85" s="328">
        <f>VLOOKUP(I85,Turnus!$D$9:$E$26,2,FALSE)</f>
        <v>0.5</v>
      </c>
      <c r="K85" s="127">
        <f t="shared" si="11"/>
        <v>99.515000000000001</v>
      </c>
      <c r="L85" s="128">
        <f>VLOOKUP($G85,'Leistungswerte GR Schulen'!$C$6:$F$53,4,FALSE)</f>
        <v>0</v>
      </c>
      <c r="M85" s="129">
        <f t="shared" si="9"/>
        <v>0</v>
      </c>
      <c r="N85" s="129">
        <f t="shared" si="12"/>
        <v>0</v>
      </c>
      <c r="O85" s="547">
        <f t="shared" si="6"/>
        <v>0</v>
      </c>
      <c r="P85" s="130">
        <f t="shared" si="13"/>
        <v>0</v>
      </c>
      <c r="Q85" s="131">
        <f t="shared" si="14"/>
        <v>0</v>
      </c>
      <c r="R85" s="578">
        <f t="shared" si="10"/>
        <v>1</v>
      </c>
    </row>
    <row r="86" spans="1:18" s="57" customFormat="1" ht="24.9" customHeight="1" x14ac:dyDescent="0.25">
      <c r="A86" s="470" t="str">
        <f>'Kalk UHR GS Deisenhofen'!A86</f>
        <v>Sporthalle</v>
      </c>
      <c r="B86" s="302" t="str">
        <f>'Kalk UHR GS Deisenhofen'!B86</f>
        <v>EG</v>
      </c>
      <c r="C86" s="302" t="str">
        <f>'Kalk UHR GS Deisenhofen'!C86</f>
        <v>E.A.F.01</v>
      </c>
      <c r="D86" s="302" t="str">
        <f>'Kalk UHR GS Deisenhofen'!D86</f>
        <v>Flur</v>
      </c>
      <c r="E86" s="302" t="str">
        <f>'Kalk UHR GS Deisenhofen'!E86</f>
        <v>Naturstein</v>
      </c>
      <c r="F86" s="469" t="str">
        <f>'Kalk UHR GS Deisenhofen'!F86</f>
        <v>F1-W5</v>
      </c>
      <c r="G86" s="228" t="str">
        <f t="shared" si="8"/>
        <v>F1-J0,5</v>
      </c>
      <c r="H86" s="127">
        <f>'Kalk UHR GS Deisenhofen'!G86</f>
        <v>43.95</v>
      </c>
      <c r="I86" s="97" t="s">
        <v>909</v>
      </c>
      <c r="J86" s="328">
        <f>VLOOKUP(I86,Turnus!$D$9:$E$26,2,FALSE)</f>
        <v>0.5</v>
      </c>
      <c r="K86" s="127">
        <f t="shared" si="11"/>
        <v>21.975000000000001</v>
      </c>
      <c r="L86" s="128">
        <f>VLOOKUP($G86,'Leistungswerte GR Schulen'!$C$6:$F$53,4,FALSE)</f>
        <v>0</v>
      </c>
      <c r="M86" s="129">
        <f t="shared" si="9"/>
        <v>0</v>
      </c>
      <c r="N86" s="129">
        <f t="shared" si="12"/>
        <v>0</v>
      </c>
      <c r="O86" s="547">
        <f t="shared" si="6"/>
        <v>0</v>
      </c>
      <c r="P86" s="130">
        <f t="shared" si="13"/>
        <v>0</v>
      </c>
      <c r="Q86" s="131">
        <f t="shared" si="14"/>
        <v>0</v>
      </c>
      <c r="R86" s="578">
        <f t="shared" si="10"/>
        <v>1</v>
      </c>
    </row>
    <row r="87" spans="1:18" s="57" customFormat="1" ht="24.9" customHeight="1" x14ac:dyDescent="0.25">
      <c r="A87" s="470" t="str">
        <f>'Kalk UHR GS Deisenhofen'!A87</f>
        <v>Sporthalle</v>
      </c>
      <c r="B87" s="302" t="str">
        <f>'Kalk UHR GS Deisenhofen'!B87</f>
        <v>EG</v>
      </c>
      <c r="C87" s="302" t="str">
        <f>'Kalk UHR GS Deisenhofen'!C87</f>
        <v>E.A.F.02</v>
      </c>
      <c r="D87" s="302" t="str">
        <f>'Kalk UHR GS Deisenhofen'!D87</f>
        <v>Flur</v>
      </c>
      <c r="E87" s="302" t="str">
        <f>'Kalk UHR GS Deisenhofen'!E87</f>
        <v>Naturstein</v>
      </c>
      <c r="F87" s="469" t="str">
        <f>'Kalk UHR GS Deisenhofen'!F87</f>
        <v>F1-W5</v>
      </c>
      <c r="G87" s="228" t="str">
        <f t="shared" si="8"/>
        <v>F1-J0,5</v>
      </c>
      <c r="H87" s="127">
        <f>'Kalk UHR GS Deisenhofen'!G87</f>
        <v>45.16</v>
      </c>
      <c r="I87" s="97" t="s">
        <v>909</v>
      </c>
      <c r="J87" s="328">
        <f>VLOOKUP(I87,Turnus!$D$9:$E$26,2,FALSE)</f>
        <v>0.5</v>
      </c>
      <c r="K87" s="127">
        <f t="shared" si="11"/>
        <v>22.58</v>
      </c>
      <c r="L87" s="128">
        <f>VLOOKUP($G87,'Leistungswerte GR Schulen'!$C$6:$F$53,4,FALSE)</f>
        <v>0</v>
      </c>
      <c r="M87" s="129">
        <f t="shared" si="9"/>
        <v>0</v>
      </c>
      <c r="N87" s="129">
        <f t="shared" si="12"/>
        <v>0</v>
      </c>
      <c r="O87" s="547">
        <f t="shared" si="6"/>
        <v>0</v>
      </c>
      <c r="P87" s="130">
        <f t="shared" si="13"/>
        <v>0</v>
      </c>
      <c r="Q87" s="131">
        <f t="shared" si="14"/>
        <v>0</v>
      </c>
      <c r="R87" s="578">
        <f t="shared" si="10"/>
        <v>1</v>
      </c>
    </row>
    <row r="88" spans="1:18" s="57" customFormat="1" ht="24.9" customHeight="1" x14ac:dyDescent="0.25">
      <c r="A88" s="470" t="str">
        <f>'Kalk UHR GS Deisenhofen'!A88</f>
        <v>Sporthalle</v>
      </c>
      <c r="B88" s="302" t="str">
        <f>'Kalk UHR GS Deisenhofen'!B88</f>
        <v>EG</v>
      </c>
      <c r="C88" s="302" t="str">
        <f>'Kalk UHR GS Deisenhofen'!C88</f>
        <v>E.A.T.01</v>
      </c>
      <c r="D88" s="302" t="str">
        <f>'Kalk UHR GS Deisenhofen'!D88</f>
        <v>Treppe</v>
      </c>
      <c r="E88" s="302" t="str">
        <f>'Kalk UHR GS Deisenhofen'!E88</f>
        <v>Naturstein</v>
      </c>
      <c r="F88" s="469" t="str">
        <f>'Kalk UHR GS Deisenhofen'!F88</f>
        <v>F3-W5</v>
      </c>
      <c r="G88" s="228" t="str">
        <f t="shared" si="8"/>
        <v>F3-J0,5</v>
      </c>
      <c r="H88" s="127">
        <f>'Kalk UHR GS Deisenhofen'!G88</f>
        <v>29.63</v>
      </c>
      <c r="I88" s="97" t="s">
        <v>909</v>
      </c>
      <c r="J88" s="328">
        <f>VLOOKUP(I88,Turnus!$D$9:$E$26,2,FALSE)</f>
        <v>0.5</v>
      </c>
      <c r="K88" s="127">
        <f t="shared" si="11"/>
        <v>14.815</v>
      </c>
      <c r="L88" s="128">
        <f>VLOOKUP($G88,'Leistungswerte GR Schulen'!$C$6:$F$53,4,FALSE)</f>
        <v>0</v>
      </c>
      <c r="M88" s="129">
        <f t="shared" si="9"/>
        <v>0</v>
      </c>
      <c r="N88" s="129">
        <f t="shared" si="12"/>
        <v>0</v>
      </c>
      <c r="O88" s="547">
        <f t="shared" si="6"/>
        <v>0</v>
      </c>
      <c r="P88" s="130">
        <f t="shared" si="13"/>
        <v>0</v>
      </c>
      <c r="Q88" s="131">
        <f t="shared" si="14"/>
        <v>0</v>
      </c>
      <c r="R88" s="578">
        <f t="shared" si="10"/>
        <v>1</v>
      </c>
    </row>
    <row r="89" spans="1:18" s="57" customFormat="1" ht="24.9" customHeight="1" x14ac:dyDescent="0.25">
      <c r="A89" s="470" t="str">
        <f>'Kalk UHR GS Deisenhofen'!A89</f>
        <v>Sporthalle</v>
      </c>
      <c r="B89" s="302" t="str">
        <f>'Kalk UHR GS Deisenhofen'!B89</f>
        <v>EG</v>
      </c>
      <c r="C89" s="302" t="str">
        <f>'Kalk UHR GS Deisenhofen'!C89</f>
        <v>E.A.Z.01</v>
      </c>
      <c r="D89" s="302" t="str">
        <f>'Kalk UHR GS Deisenhofen'!D89</f>
        <v>Aufzug</v>
      </c>
      <c r="E89" s="302" t="str">
        <f>'Kalk UHR GS Deisenhofen'!E89</f>
        <v>Naturstein</v>
      </c>
      <c r="F89" s="469" t="str">
        <f>'Kalk UHR GS Deisenhofen'!F89</f>
        <v>F2-W3</v>
      </c>
      <c r="G89" s="228" t="str">
        <f t="shared" si="8"/>
        <v>F2-J0,5</v>
      </c>
      <c r="H89" s="127">
        <f>'Kalk UHR GS Deisenhofen'!G89</f>
        <v>7.92</v>
      </c>
      <c r="I89" s="97" t="s">
        <v>909</v>
      </c>
      <c r="J89" s="328">
        <f>VLOOKUP(I89,Turnus!$D$9:$E$26,2,FALSE)</f>
        <v>0.5</v>
      </c>
      <c r="K89" s="127">
        <f t="shared" si="11"/>
        <v>3.96</v>
      </c>
      <c r="L89" s="128">
        <f>VLOOKUP($G89,'Leistungswerte GR Schulen'!$C$6:$F$53,4,FALSE)</f>
        <v>0</v>
      </c>
      <c r="M89" s="129">
        <f t="shared" si="9"/>
        <v>0</v>
      </c>
      <c r="N89" s="129">
        <f t="shared" si="12"/>
        <v>0</v>
      </c>
      <c r="O89" s="547">
        <f t="shared" si="6"/>
        <v>0</v>
      </c>
      <c r="P89" s="130">
        <f t="shared" si="13"/>
        <v>0</v>
      </c>
      <c r="Q89" s="131">
        <f t="shared" si="14"/>
        <v>0</v>
      </c>
      <c r="R89" s="578">
        <f t="shared" si="10"/>
        <v>1</v>
      </c>
    </row>
    <row r="90" spans="1:18" s="57" customFormat="1" ht="24.9" customHeight="1" x14ac:dyDescent="0.25">
      <c r="A90" s="470" t="str">
        <f>'Kalk UHR GS Deisenhofen'!A90</f>
        <v>Sporthalle</v>
      </c>
      <c r="B90" s="302" t="str">
        <f>'Kalk UHR GS Deisenhofen'!B90</f>
        <v>EG</v>
      </c>
      <c r="C90" s="302" t="str">
        <f>'Kalk UHR GS Deisenhofen'!C90</f>
        <v>E.A.02a</v>
      </c>
      <c r="D90" s="302" t="str">
        <f>'Kalk UHR GS Deisenhofen'!D90</f>
        <v>Mediengeräte</v>
      </c>
      <c r="E90" s="302" t="str">
        <f>'Kalk UHR GS Deisenhofen'!E90</f>
        <v>Linoleum</v>
      </c>
      <c r="F90" s="469" t="str">
        <f>'Kalk UHR GS Deisenhofen'!F90</f>
        <v>L1-J1</v>
      </c>
      <c r="G90" s="228" t="str">
        <f t="shared" si="8"/>
        <v>L1-J0,5</v>
      </c>
      <c r="H90" s="127">
        <f>'Kalk UHR GS Deisenhofen'!G90</f>
        <v>8.08</v>
      </c>
      <c r="I90" s="97" t="s">
        <v>909</v>
      </c>
      <c r="J90" s="328">
        <f>VLOOKUP(I90,Turnus!$D$9:$E$26,2,FALSE)</f>
        <v>0.5</v>
      </c>
      <c r="K90" s="127">
        <f t="shared" si="11"/>
        <v>4.04</v>
      </c>
      <c r="L90" s="128">
        <f>VLOOKUP($G90,'Leistungswerte GR Schulen'!$C$6:$F$53,4,FALSE)</f>
        <v>0</v>
      </c>
      <c r="M90" s="129">
        <f t="shared" si="9"/>
        <v>0</v>
      </c>
      <c r="N90" s="129">
        <f t="shared" si="12"/>
        <v>0</v>
      </c>
      <c r="O90" s="547">
        <f t="shared" si="6"/>
        <v>0</v>
      </c>
      <c r="P90" s="130">
        <f t="shared" si="13"/>
        <v>0</v>
      </c>
      <c r="Q90" s="131">
        <f t="shared" si="14"/>
        <v>0</v>
      </c>
      <c r="R90" s="578">
        <f t="shared" si="10"/>
        <v>1</v>
      </c>
    </row>
    <row r="91" spans="1:18" s="57" customFormat="1" ht="24.9" customHeight="1" x14ac:dyDescent="0.25">
      <c r="A91" s="470" t="str">
        <f>'Kalk UHR GS Deisenhofen'!A91</f>
        <v>Sporthalle</v>
      </c>
      <c r="B91" s="302" t="str">
        <f>'Kalk UHR GS Deisenhofen'!B91</f>
        <v>EG</v>
      </c>
      <c r="C91" s="302" t="str">
        <f>'Kalk UHR GS Deisenhofen'!C91</f>
        <v>E.A.03a</v>
      </c>
      <c r="D91" s="302" t="str">
        <f>'Kalk UHR GS Deisenhofen'!D91</f>
        <v>Lager</v>
      </c>
      <c r="E91" s="302" t="str">
        <f>'Kalk UHR GS Deisenhofen'!E91</f>
        <v>Linoleum</v>
      </c>
      <c r="F91" s="469" t="str">
        <f>'Kalk UHR GS Deisenhofen'!F91</f>
        <v>L1-J1</v>
      </c>
      <c r="G91" s="414" t="str">
        <f t="shared" si="8"/>
        <v>L1-J0,5</v>
      </c>
      <c r="H91" s="127">
        <f>'Kalk UHR GS Deisenhofen'!G91</f>
        <v>8.1199999999999992</v>
      </c>
      <c r="I91" s="97" t="s">
        <v>909</v>
      </c>
      <c r="J91" s="328">
        <f>VLOOKUP(I91,Turnus!$D$9:$E$26,2,FALSE)</f>
        <v>0.5</v>
      </c>
      <c r="K91" s="127">
        <f t="shared" si="11"/>
        <v>4.0599999999999996</v>
      </c>
      <c r="L91" s="128">
        <f>VLOOKUP($G91,'Leistungswerte GR Schulen'!$C$6:$F$53,4,FALSE)</f>
        <v>0</v>
      </c>
      <c r="M91" s="129">
        <f t="shared" si="9"/>
        <v>0</v>
      </c>
      <c r="N91" s="129">
        <f t="shared" si="12"/>
        <v>0</v>
      </c>
      <c r="O91" s="547">
        <f t="shared" si="6"/>
        <v>0</v>
      </c>
      <c r="P91" s="130">
        <f t="shared" si="13"/>
        <v>0</v>
      </c>
      <c r="Q91" s="131">
        <f t="shared" si="14"/>
        <v>0</v>
      </c>
      <c r="R91" s="578">
        <f t="shared" si="10"/>
        <v>1</v>
      </c>
    </row>
    <row r="92" spans="1:18" s="57" customFormat="1" ht="24.9" customHeight="1" x14ac:dyDescent="0.25">
      <c r="A92" s="470" t="str">
        <f>'Kalk UHR GS Deisenhofen'!A92</f>
        <v>Sporthalle</v>
      </c>
      <c r="B92" s="302" t="str">
        <f>'Kalk UHR GS Deisenhofen'!B92</f>
        <v>EG</v>
      </c>
      <c r="C92" s="302" t="str">
        <f>'Kalk UHR GS Deisenhofen'!C92</f>
        <v>E.A.02b</v>
      </c>
      <c r="D92" s="302" t="str">
        <f>'Kalk UHR GS Deisenhofen'!D92</f>
        <v>Catering</v>
      </c>
      <c r="E92" s="302" t="str">
        <f>'Kalk UHR GS Deisenhofen'!E92</f>
        <v>Linoleum</v>
      </c>
      <c r="F92" s="469" t="str">
        <f>'Kalk UHR GS Deisenhofen'!F92</f>
        <v>Z-kR</v>
      </c>
      <c r="G92" s="414" t="str">
        <f t="shared" si="8"/>
        <v>Z--kR</v>
      </c>
      <c r="H92" s="127">
        <f>'Kalk UHR GS Deisenhofen'!G92</f>
        <v>8.1199999999999992</v>
      </c>
      <c r="I92" s="97" t="s">
        <v>68</v>
      </c>
      <c r="J92" s="328">
        <f>VLOOKUP(I92,Turnus!$D$9:$E$26,2,FALSE)</f>
        <v>0</v>
      </c>
      <c r="K92" s="127">
        <f t="shared" si="11"/>
        <v>0</v>
      </c>
      <c r="L92" s="128">
        <f>VLOOKUP($G92,'Leistungswerte GR Schulen'!$C$6:$F$53,4,FALSE)</f>
        <v>0</v>
      </c>
      <c r="M92" s="129">
        <f t="shared" si="9"/>
        <v>0</v>
      </c>
      <c r="N92" s="129">
        <f t="shared" si="12"/>
        <v>0</v>
      </c>
      <c r="O92" s="547">
        <f t="shared" si="6"/>
        <v>0</v>
      </c>
      <c r="P92" s="130">
        <f t="shared" si="13"/>
        <v>0</v>
      </c>
      <c r="Q92" s="131">
        <f t="shared" si="14"/>
        <v>0</v>
      </c>
      <c r="R92" s="578">
        <f t="shared" si="10"/>
        <v>1</v>
      </c>
    </row>
    <row r="93" spans="1:18" s="57" customFormat="1" ht="24.9" customHeight="1" x14ac:dyDescent="0.25">
      <c r="A93" s="470" t="str">
        <f>'Kalk UHR GS Deisenhofen'!A93</f>
        <v>Sporthalle</v>
      </c>
      <c r="B93" s="302" t="str">
        <f>'Kalk UHR GS Deisenhofen'!B93</f>
        <v>EG</v>
      </c>
      <c r="C93" s="302" t="str">
        <f>'Kalk UHR GS Deisenhofen'!C93</f>
        <v>E.A.02c</v>
      </c>
      <c r="D93" s="302" t="str">
        <f>'Kalk UHR GS Deisenhofen'!D93</f>
        <v>Technik</v>
      </c>
      <c r="E93" s="302" t="str">
        <f>'Kalk UHR GS Deisenhofen'!E93</f>
        <v>Linoleum</v>
      </c>
      <c r="F93" s="469" t="str">
        <f>'Kalk UHR GS Deisenhofen'!F93</f>
        <v>Z-kR</v>
      </c>
      <c r="G93" s="414" t="str">
        <f t="shared" si="8"/>
        <v>Z--kR</v>
      </c>
      <c r="H93" s="127">
        <f>'Kalk UHR GS Deisenhofen'!G93</f>
        <v>9.08</v>
      </c>
      <c r="I93" s="97" t="s">
        <v>68</v>
      </c>
      <c r="J93" s="328">
        <f>VLOOKUP(I93,Turnus!$D$9:$E$26,2,FALSE)</f>
        <v>0</v>
      </c>
      <c r="K93" s="127">
        <f t="shared" si="11"/>
        <v>0</v>
      </c>
      <c r="L93" s="128">
        <f>VLOOKUP($G93,'Leistungswerte GR Schulen'!$C$6:$F$53,4,FALSE)</f>
        <v>0</v>
      </c>
      <c r="M93" s="129">
        <f t="shared" si="9"/>
        <v>0</v>
      </c>
      <c r="N93" s="129">
        <f t="shared" si="12"/>
        <v>0</v>
      </c>
      <c r="O93" s="547">
        <f t="shared" si="6"/>
        <v>0</v>
      </c>
      <c r="P93" s="130">
        <f t="shared" si="13"/>
        <v>0</v>
      </c>
      <c r="Q93" s="131">
        <f t="shared" si="14"/>
        <v>0</v>
      </c>
      <c r="R93" s="578">
        <f t="shared" si="10"/>
        <v>1</v>
      </c>
    </row>
    <row r="94" spans="1:18" s="57" customFormat="1" ht="24.9" customHeight="1" x14ac:dyDescent="0.25">
      <c r="A94" s="470" t="str">
        <f>'Kalk UHR GS Deisenhofen'!A94</f>
        <v>Sporthalle</v>
      </c>
      <c r="B94" s="302" t="str">
        <f>'Kalk UHR GS Deisenhofen'!B94</f>
        <v>EG</v>
      </c>
      <c r="C94" s="302" t="str">
        <f>'Kalk UHR GS Deisenhofen'!C94</f>
        <v>E.B.03</v>
      </c>
      <c r="D94" s="302" t="str">
        <f>'Kalk UHR GS Deisenhofen'!D94</f>
        <v>Mehrzweckhalle</v>
      </c>
      <c r="E94" s="302" t="str">
        <f>'Kalk UHR GS Deisenhofen'!E94</f>
        <v>Parkett</v>
      </c>
      <c r="F94" s="469" t="str">
        <f>'Kalk UHR GS Deisenhofen'!F94</f>
        <v>V1-W6</v>
      </c>
      <c r="G94" s="414" t="str">
        <f t="shared" si="8"/>
        <v>V1-J0,5</v>
      </c>
      <c r="H94" s="127">
        <f>'Kalk UHR GS Deisenhofen'!G94</f>
        <v>288</v>
      </c>
      <c r="I94" s="97" t="s">
        <v>909</v>
      </c>
      <c r="J94" s="328">
        <f>VLOOKUP(I94,Turnus!$D$9:$E$26,2,FALSE)</f>
        <v>0.5</v>
      </c>
      <c r="K94" s="127">
        <f t="shared" si="11"/>
        <v>144</v>
      </c>
      <c r="L94" s="128">
        <f>VLOOKUP($G94,'Leistungswerte GR Schulen'!$C$6:$F$53,4,FALSE)</f>
        <v>0</v>
      </c>
      <c r="M94" s="129">
        <f t="shared" si="9"/>
        <v>0</v>
      </c>
      <c r="N94" s="129">
        <f t="shared" si="12"/>
        <v>0</v>
      </c>
      <c r="O94" s="547">
        <f t="shared" si="6"/>
        <v>0</v>
      </c>
      <c r="P94" s="130">
        <f t="shared" si="13"/>
        <v>0</v>
      </c>
      <c r="Q94" s="131">
        <f t="shared" si="14"/>
        <v>0</v>
      </c>
      <c r="R94" s="578">
        <f t="shared" si="10"/>
        <v>1</v>
      </c>
    </row>
    <row r="95" spans="1:18" s="57" customFormat="1" ht="24.9" customHeight="1" x14ac:dyDescent="0.25">
      <c r="A95" s="470" t="str">
        <f>'Kalk UHR GS Deisenhofen'!A95</f>
        <v>Sporthalle</v>
      </c>
      <c r="B95" s="302" t="str">
        <f>'Kalk UHR GS Deisenhofen'!B95</f>
        <v>EG</v>
      </c>
      <c r="C95" s="302" t="str">
        <f>'Kalk UHR GS Deisenhofen'!C95</f>
        <v>E.C.01a</v>
      </c>
      <c r="D95" s="302" t="str">
        <f>'Kalk UHR GS Deisenhofen'!D95</f>
        <v>Lager</v>
      </c>
      <c r="E95" s="302" t="str">
        <f>'Kalk UHR GS Deisenhofen'!E95</f>
        <v>Hartbelag</v>
      </c>
      <c r="F95" s="469" t="str">
        <f>'Kalk UHR GS Deisenhofen'!F95</f>
        <v>L1-J1</v>
      </c>
      <c r="G95" s="414" t="str">
        <f t="shared" si="8"/>
        <v>L1-J0,5</v>
      </c>
      <c r="H95" s="127">
        <f>'Kalk UHR GS Deisenhofen'!G95</f>
        <v>5.5</v>
      </c>
      <c r="I95" s="97" t="s">
        <v>909</v>
      </c>
      <c r="J95" s="328">
        <f>VLOOKUP(I95,Turnus!$D$9:$E$26,2,FALSE)</f>
        <v>0.5</v>
      </c>
      <c r="K95" s="127">
        <f t="shared" si="11"/>
        <v>2.75</v>
      </c>
      <c r="L95" s="128">
        <f>VLOOKUP($G95,'Leistungswerte GR Schulen'!$C$6:$F$53,4,FALSE)</f>
        <v>0</v>
      </c>
      <c r="M95" s="129">
        <f t="shared" si="9"/>
        <v>0</v>
      </c>
      <c r="N95" s="129">
        <f t="shared" si="12"/>
        <v>0</v>
      </c>
      <c r="O95" s="547">
        <f t="shared" si="6"/>
        <v>0</v>
      </c>
      <c r="P95" s="130">
        <f t="shared" si="13"/>
        <v>0</v>
      </c>
      <c r="Q95" s="131">
        <f t="shared" si="14"/>
        <v>0</v>
      </c>
      <c r="R95" s="578">
        <f t="shared" si="10"/>
        <v>1</v>
      </c>
    </row>
    <row r="96" spans="1:18" s="57" customFormat="1" ht="24.9" customHeight="1" x14ac:dyDescent="0.25">
      <c r="A96" s="470" t="str">
        <f>'Kalk UHR GS Deisenhofen'!A96</f>
        <v>Sporthalle</v>
      </c>
      <c r="B96" s="302" t="str">
        <f>'Kalk UHR GS Deisenhofen'!B96</f>
        <v>EG</v>
      </c>
      <c r="C96" s="302">
        <f>'Kalk UHR GS Deisenhofen'!C96</f>
        <v>0</v>
      </c>
      <c r="D96" s="302" t="str">
        <f>'Kalk UHR GS Deisenhofen'!D96</f>
        <v>HLS</v>
      </c>
      <c r="E96" s="302" t="str">
        <f>'Kalk UHR GS Deisenhofen'!E96</f>
        <v>Hartbelag</v>
      </c>
      <c r="F96" s="469" t="str">
        <f>'Kalk UHR GS Deisenhofen'!F96</f>
        <v>Z-kR</v>
      </c>
      <c r="G96" s="228" t="str">
        <f t="shared" si="8"/>
        <v>Z--kR</v>
      </c>
      <c r="H96" s="127">
        <f>'Kalk UHR GS Deisenhofen'!G96</f>
        <v>5.29</v>
      </c>
      <c r="I96" s="97" t="s">
        <v>68</v>
      </c>
      <c r="J96" s="328">
        <f>VLOOKUP(I96,Turnus!$D$9:$E$26,2,FALSE)</f>
        <v>0</v>
      </c>
      <c r="K96" s="127">
        <f t="shared" si="11"/>
        <v>0</v>
      </c>
      <c r="L96" s="128">
        <f>VLOOKUP($G96,'Leistungswerte GR Schulen'!$C$6:$F$53,4,FALSE)</f>
        <v>0</v>
      </c>
      <c r="M96" s="129">
        <f t="shared" si="9"/>
        <v>0</v>
      </c>
      <c r="N96" s="129">
        <f t="shared" si="12"/>
        <v>0</v>
      </c>
      <c r="O96" s="547">
        <f t="shared" si="6"/>
        <v>0</v>
      </c>
      <c r="P96" s="130">
        <f t="shared" si="13"/>
        <v>0</v>
      </c>
      <c r="Q96" s="131">
        <f t="shared" si="14"/>
        <v>0</v>
      </c>
      <c r="R96" s="578">
        <f t="shared" si="10"/>
        <v>1</v>
      </c>
    </row>
    <row r="97" spans="1:18" s="57" customFormat="1" ht="24.9" customHeight="1" x14ac:dyDescent="0.25">
      <c r="A97" s="470" t="str">
        <f>'Kalk UHR GS Deisenhofen'!A97</f>
        <v>Schule</v>
      </c>
      <c r="B97" s="302" t="str">
        <f>'Kalk UHR GS Deisenhofen'!B97</f>
        <v>EG</v>
      </c>
      <c r="C97" s="302" t="str">
        <f>'Kalk UHR GS Deisenhofen'!C97</f>
        <v>E.C.T.02</v>
      </c>
      <c r="D97" s="302" t="str">
        <f>'Kalk UHR GS Deisenhofen'!D97</f>
        <v>Treppe</v>
      </c>
      <c r="E97" s="302" t="str">
        <f>'Kalk UHR GS Deisenhofen'!E97</f>
        <v>Naturstein</v>
      </c>
      <c r="F97" s="469" t="str">
        <f>'Kalk UHR GS Deisenhofen'!F97</f>
        <v>F3-W5</v>
      </c>
      <c r="G97" s="228" t="str">
        <f t="shared" si="8"/>
        <v>F3-J0,5</v>
      </c>
      <c r="H97" s="127">
        <f>'Kalk UHR GS Deisenhofen'!G97</f>
        <v>10.87</v>
      </c>
      <c r="I97" s="97" t="s">
        <v>909</v>
      </c>
      <c r="J97" s="328">
        <f>VLOOKUP(I97,Turnus!$D$9:$E$26,2,FALSE)</f>
        <v>0.5</v>
      </c>
      <c r="K97" s="127">
        <f t="shared" si="11"/>
        <v>5.4349999999999996</v>
      </c>
      <c r="L97" s="128">
        <f>VLOOKUP($G97,'Leistungswerte GR Schulen'!$C$6:$F$53,4,FALSE)</f>
        <v>0</v>
      </c>
      <c r="M97" s="129">
        <f t="shared" si="9"/>
        <v>0</v>
      </c>
      <c r="N97" s="129">
        <f t="shared" si="12"/>
        <v>0</v>
      </c>
      <c r="O97" s="547">
        <f t="shared" si="6"/>
        <v>0</v>
      </c>
      <c r="P97" s="130">
        <f t="shared" si="13"/>
        <v>0</v>
      </c>
      <c r="Q97" s="131">
        <f t="shared" si="14"/>
        <v>0</v>
      </c>
      <c r="R97" s="578">
        <f t="shared" si="10"/>
        <v>1</v>
      </c>
    </row>
    <row r="98" spans="1:18" s="57" customFormat="1" ht="24.9" customHeight="1" x14ac:dyDescent="0.25">
      <c r="A98" s="470" t="str">
        <f>'Kalk UHR GS Deisenhofen'!A98</f>
        <v>Schule</v>
      </c>
      <c r="B98" s="302" t="str">
        <f>'Kalk UHR GS Deisenhofen'!B98</f>
        <v>EG</v>
      </c>
      <c r="C98" s="302" t="str">
        <f>'Kalk UHR GS Deisenhofen'!C98</f>
        <v>E.C.04</v>
      </c>
      <c r="D98" s="302" t="str">
        <f>'Kalk UHR GS Deisenhofen'!D98</f>
        <v>Garderobe</v>
      </c>
      <c r="E98" s="302" t="str">
        <f>'Kalk UHR GS Deisenhofen'!E98</f>
        <v>Linoleum</v>
      </c>
      <c r="F98" s="469" t="str">
        <f>'Kalk UHR GS Deisenhofen'!F98</f>
        <v>H1-W3</v>
      </c>
      <c r="G98" s="228" t="str">
        <f t="shared" si="8"/>
        <v>H1-J0,5</v>
      </c>
      <c r="H98" s="127">
        <f>'Kalk UHR GS Deisenhofen'!G98</f>
        <v>11.66</v>
      </c>
      <c r="I98" s="97" t="s">
        <v>909</v>
      </c>
      <c r="J98" s="328">
        <f>VLOOKUP(I98,Turnus!$D$9:$E$26,2,FALSE)</f>
        <v>0.5</v>
      </c>
      <c r="K98" s="127">
        <f t="shared" si="0"/>
        <v>5.83</v>
      </c>
      <c r="L98" s="128">
        <f>VLOOKUP($G98,'Leistungswerte GR Schulen'!$C$6:$F$53,4,FALSE)</f>
        <v>0</v>
      </c>
      <c r="M98" s="129">
        <f t="shared" si="9"/>
        <v>0</v>
      </c>
      <c r="N98" s="129">
        <f t="shared" si="1"/>
        <v>0</v>
      </c>
      <c r="O98" s="547">
        <f t="shared" si="6"/>
        <v>0</v>
      </c>
      <c r="P98" s="130">
        <f t="shared" si="2"/>
        <v>0</v>
      </c>
      <c r="Q98" s="131">
        <f t="shared" si="3"/>
        <v>0</v>
      </c>
      <c r="R98" s="578">
        <f t="shared" si="10"/>
        <v>1</v>
      </c>
    </row>
    <row r="99" spans="1:18" s="57" customFormat="1" ht="24.9" customHeight="1" x14ac:dyDescent="0.25">
      <c r="A99" s="470" t="str">
        <f>'Kalk UHR GS Deisenhofen'!A99</f>
        <v>Schule</v>
      </c>
      <c r="B99" s="302" t="str">
        <f>'Kalk UHR GS Deisenhofen'!B99</f>
        <v>EG</v>
      </c>
      <c r="C99" s="302" t="str">
        <f>'Kalk UHR GS Deisenhofen'!C99</f>
        <v>E.C.05</v>
      </c>
      <c r="D99" s="302" t="str">
        <f>'Kalk UHR GS Deisenhofen'!D99</f>
        <v>Klassenraum 1</v>
      </c>
      <c r="E99" s="302" t="str">
        <f>'Kalk UHR GS Deisenhofen'!E99</f>
        <v>Linoleum</v>
      </c>
      <c r="F99" s="469" t="str">
        <f>'Kalk UHR GS Deisenhofen'!F99</f>
        <v>U1-W3</v>
      </c>
      <c r="G99" s="228" t="str">
        <f t="shared" si="8"/>
        <v>U1-J0,5</v>
      </c>
      <c r="H99" s="127">
        <f>'Kalk UHR GS Deisenhofen'!G99</f>
        <v>69.63</v>
      </c>
      <c r="I99" s="97" t="s">
        <v>909</v>
      </c>
      <c r="J99" s="328">
        <f>VLOOKUP(I99,Turnus!$D$9:$E$26,2,FALSE)</f>
        <v>0.5</v>
      </c>
      <c r="K99" s="127">
        <f t="shared" si="0"/>
        <v>34.814999999999998</v>
      </c>
      <c r="L99" s="128">
        <f>VLOOKUP($G99,'Leistungswerte GR Schulen'!$C$6:$F$53,4,FALSE)</f>
        <v>0</v>
      </c>
      <c r="M99" s="129">
        <f t="shared" si="9"/>
        <v>0</v>
      </c>
      <c r="N99" s="129">
        <f t="shared" si="1"/>
        <v>0</v>
      </c>
      <c r="O99" s="547">
        <f t="shared" si="6"/>
        <v>0</v>
      </c>
      <c r="P99" s="130">
        <f t="shared" si="2"/>
        <v>0</v>
      </c>
      <c r="Q99" s="131">
        <f t="shared" si="3"/>
        <v>0</v>
      </c>
      <c r="R99" s="578">
        <f t="shared" si="10"/>
        <v>1</v>
      </c>
    </row>
    <row r="100" spans="1:18" s="57" customFormat="1" ht="24.9" customHeight="1" x14ac:dyDescent="0.25">
      <c r="A100" s="470" t="str">
        <f>'Kalk UHR GS Deisenhofen'!A100</f>
        <v>Schule</v>
      </c>
      <c r="B100" s="302" t="str">
        <f>'Kalk UHR GS Deisenhofen'!B100</f>
        <v>EG</v>
      </c>
      <c r="C100" s="302" t="str">
        <f>'Kalk UHR GS Deisenhofen'!C100</f>
        <v>E.C.06</v>
      </c>
      <c r="D100" s="302" t="str">
        <f>'Kalk UHR GS Deisenhofen'!D100</f>
        <v>Gruppenraum</v>
      </c>
      <c r="E100" s="302" t="str">
        <f>'Kalk UHR GS Deisenhofen'!E100</f>
        <v>Linoleum</v>
      </c>
      <c r="F100" s="469" t="str">
        <f>'Kalk UHR GS Deisenhofen'!F100</f>
        <v>G1-W3</v>
      </c>
      <c r="G100" s="228" t="str">
        <f t="shared" si="8"/>
        <v>G1-J0,5</v>
      </c>
      <c r="H100" s="127">
        <f>'Kalk UHR GS Deisenhofen'!G100</f>
        <v>27.22</v>
      </c>
      <c r="I100" s="97" t="s">
        <v>909</v>
      </c>
      <c r="J100" s="328">
        <f>VLOOKUP(I100,Turnus!$D$9:$E$26,2,FALSE)</f>
        <v>0.5</v>
      </c>
      <c r="K100" s="127">
        <f t="shared" si="0"/>
        <v>13.61</v>
      </c>
      <c r="L100" s="128">
        <f>VLOOKUP($G100,'Leistungswerte GR Schulen'!$C$6:$F$53,4,FALSE)</f>
        <v>0</v>
      </c>
      <c r="M100" s="129">
        <f t="shared" si="9"/>
        <v>0</v>
      </c>
      <c r="N100" s="129">
        <f t="shared" si="1"/>
        <v>0</v>
      </c>
      <c r="O100" s="547">
        <f t="shared" si="6"/>
        <v>0</v>
      </c>
      <c r="P100" s="130">
        <f t="shared" si="2"/>
        <v>0</v>
      </c>
      <c r="Q100" s="131">
        <f t="shared" si="3"/>
        <v>0</v>
      </c>
      <c r="R100" s="578">
        <f t="shared" si="10"/>
        <v>1</v>
      </c>
    </row>
    <row r="101" spans="1:18" s="57" customFormat="1" ht="24.9" customHeight="1" x14ac:dyDescent="0.25">
      <c r="A101" s="470" t="str">
        <f>'Kalk UHR GS Deisenhofen'!A101</f>
        <v>Schule</v>
      </c>
      <c r="B101" s="302" t="str">
        <f>'Kalk UHR GS Deisenhofen'!B101</f>
        <v>EG</v>
      </c>
      <c r="C101" s="302" t="str">
        <f>'Kalk UHR GS Deisenhofen'!C101</f>
        <v>E.C.07</v>
      </c>
      <c r="D101" s="302" t="str">
        <f>'Kalk UHR GS Deisenhofen'!D101</f>
        <v>Klassenraum 2</v>
      </c>
      <c r="E101" s="302" t="str">
        <f>'Kalk UHR GS Deisenhofen'!E101</f>
        <v>Linoleum</v>
      </c>
      <c r="F101" s="469" t="str">
        <f>'Kalk UHR GS Deisenhofen'!F101</f>
        <v>U1-W3</v>
      </c>
      <c r="G101" s="228" t="str">
        <f t="shared" si="8"/>
        <v>U1-J0,5</v>
      </c>
      <c r="H101" s="127">
        <f>'Kalk UHR GS Deisenhofen'!G101</f>
        <v>69.63</v>
      </c>
      <c r="I101" s="97" t="s">
        <v>909</v>
      </c>
      <c r="J101" s="328">
        <f>VLOOKUP(I101,Turnus!$D$9:$E$26,2,FALSE)</f>
        <v>0.5</v>
      </c>
      <c r="K101" s="127">
        <f t="shared" si="0"/>
        <v>34.814999999999998</v>
      </c>
      <c r="L101" s="128">
        <f>VLOOKUP($G101,'Leistungswerte GR Schulen'!$C$6:$F$53,4,FALSE)</f>
        <v>0</v>
      </c>
      <c r="M101" s="129">
        <f t="shared" si="9"/>
        <v>0</v>
      </c>
      <c r="N101" s="129">
        <f t="shared" si="1"/>
        <v>0</v>
      </c>
      <c r="O101" s="547">
        <f t="shared" si="6"/>
        <v>0</v>
      </c>
      <c r="P101" s="130">
        <f t="shared" si="2"/>
        <v>0</v>
      </c>
      <c r="Q101" s="131">
        <f t="shared" si="3"/>
        <v>0</v>
      </c>
      <c r="R101" s="578">
        <f t="shared" si="10"/>
        <v>1</v>
      </c>
    </row>
    <row r="102" spans="1:18" s="57" customFormat="1" ht="24.9" customHeight="1" x14ac:dyDescent="0.25">
      <c r="A102" s="470" t="str">
        <f>'Kalk UHR GS Deisenhofen'!A102</f>
        <v>Schule</v>
      </c>
      <c r="B102" s="302" t="str">
        <f>'Kalk UHR GS Deisenhofen'!B102</f>
        <v>EG</v>
      </c>
      <c r="C102" s="302" t="str">
        <f>'Kalk UHR GS Deisenhofen'!C102</f>
        <v>E.C.08</v>
      </c>
      <c r="D102" s="302" t="str">
        <f>'Kalk UHR GS Deisenhofen'!D102</f>
        <v>Garderobe</v>
      </c>
      <c r="E102" s="302" t="str">
        <f>'Kalk UHR GS Deisenhofen'!E102</f>
        <v>Linoleum</v>
      </c>
      <c r="F102" s="469" t="str">
        <f>'Kalk UHR GS Deisenhofen'!F102</f>
        <v>H1-W3</v>
      </c>
      <c r="G102" s="228" t="str">
        <f t="shared" si="8"/>
        <v>H1-J0,5</v>
      </c>
      <c r="H102" s="127">
        <f>'Kalk UHR GS Deisenhofen'!G102</f>
        <v>11.66</v>
      </c>
      <c r="I102" s="97" t="s">
        <v>909</v>
      </c>
      <c r="J102" s="328">
        <f>VLOOKUP(I102,Turnus!$D$9:$E$26,2,FALSE)</f>
        <v>0.5</v>
      </c>
      <c r="K102" s="127">
        <f t="shared" si="0"/>
        <v>5.83</v>
      </c>
      <c r="L102" s="128">
        <f>VLOOKUP($G102,'Leistungswerte GR Schulen'!$C$6:$F$53,4,FALSE)</f>
        <v>0</v>
      </c>
      <c r="M102" s="129">
        <f t="shared" si="9"/>
        <v>0</v>
      </c>
      <c r="N102" s="129">
        <f t="shared" si="1"/>
        <v>0</v>
      </c>
      <c r="O102" s="547">
        <f t="shared" si="6"/>
        <v>0</v>
      </c>
      <c r="P102" s="130">
        <f t="shared" si="2"/>
        <v>0</v>
      </c>
      <c r="Q102" s="131">
        <f t="shared" si="3"/>
        <v>0</v>
      </c>
      <c r="R102" s="578">
        <f t="shared" si="10"/>
        <v>1</v>
      </c>
    </row>
    <row r="103" spans="1:18" s="57" customFormat="1" ht="24.9" customHeight="1" x14ac:dyDescent="0.25">
      <c r="A103" s="470" t="str">
        <f>'Kalk UHR GS Deisenhofen'!A103</f>
        <v>Schule</v>
      </c>
      <c r="B103" s="302" t="str">
        <f>'Kalk UHR GS Deisenhofen'!B103</f>
        <v>EG</v>
      </c>
      <c r="C103" s="302" t="str">
        <f>'Kalk UHR GS Deisenhofen'!C103</f>
        <v>E.C.F.03</v>
      </c>
      <c r="D103" s="302" t="str">
        <f>'Kalk UHR GS Deisenhofen'!D103</f>
        <v>Flur</v>
      </c>
      <c r="E103" s="302" t="str">
        <f>'Kalk UHR GS Deisenhofen'!E103</f>
        <v>Naturstein</v>
      </c>
      <c r="F103" s="469" t="str">
        <f>'Kalk UHR GS Deisenhofen'!F103</f>
        <v>F1-W5</v>
      </c>
      <c r="G103" s="228" t="str">
        <f t="shared" si="8"/>
        <v>F1-J0,5</v>
      </c>
      <c r="H103" s="127">
        <f>'Kalk UHR GS Deisenhofen'!G103</f>
        <v>74.930000000000007</v>
      </c>
      <c r="I103" s="97" t="s">
        <v>909</v>
      </c>
      <c r="J103" s="328">
        <f>VLOOKUP(I103,Turnus!$D$9:$E$26,2,FALSE)</f>
        <v>0.5</v>
      </c>
      <c r="K103" s="127">
        <f t="shared" si="0"/>
        <v>37.465000000000003</v>
      </c>
      <c r="L103" s="128">
        <f>VLOOKUP($G103,'Leistungswerte GR Schulen'!$C$6:$F$53,4,FALSE)</f>
        <v>0</v>
      </c>
      <c r="M103" s="129">
        <f t="shared" si="9"/>
        <v>0</v>
      </c>
      <c r="N103" s="129">
        <f t="shared" si="1"/>
        <v>0</v>
      </c>
      <c r="O103" s="547">
        <f t="shared" si="6"/>
        <v>0</v>
      </c>
      <c r="P103" s="130">
        <f t="shared" si="2"/>
        <v>0</v>
      </c>
      <c r="Q103" s="131">
        <f t="shared" si="3"/>
        <v>0</v>
      </c>
      <c r="R103" s="578">
        <f t="shared" si="10"/>
        <v>1</v>
      </c>
    </row>
    <row r="104" spans="1:18" s="57" customFormat="1" ht="24.9" customHeight="1" x14ac:dyDescent="0.25">
      <c r="A104" s="470" t="str">
        <f>'Kalk UHR GS Deisenhofen'!A104</f>
        <v>Schule</v>
      </c>
      <c r="B104" s="302" t="str">
        <f>'Kalk UHR GS Deisenhofen'!B104</f>
        <v>EG</v>
      </c>
      <c r="C104" s="302" t="str">
        <f>'Kalk UHR GS Deisenhofen'!C104</f>
        <v>E.C.09</v>
      </c>
      <c r="D104" s="302" t="str">
        <f>'Kalk UHR GS Deisenhofen'!D104</f>
        <v>Garderobe</v>
      </c>
      <c r="E104" s="302" t="str">
        <f>'Kalk UHR GS Deisenhofen'!E104</f>
        <v>Linoleum</v>
      </c>
      <c r="F104" s="469" t="str">
        <f>'Kalk UHR GS Deisenhofen'!F104</f>
        <v>H1-W3</v>
      </c>
      <c r="G104" s="228" t="str">
        <f t="shared" si="8"/>
        <v>H1-J0,5</v>
      </c>
      <c r="H104" s="127">
        <f>'Kalk UHR GS Deisenhofen'!G104</f>
        <v>11.66</v>
      </c>
      <c r="I104" s="97" t="s">
        <v>909</v>
      </c>
      <c r="J104" s="328">
        <f>VLOOKUP(I104,Turnus!$D$9:$E$26,2,FALSE)</f>
        <v>0.5</v>
      </c>
      <c r="K104" s="127">
        <f t="shared" si="0"/>
        <v>5.83</v>
      </c>
      <c r="L104" s="128">
        <f>VLOOKUP($G104,'Leistungswerte GR Schulen'!$C$6:$F$53,4,FALSE)</f>
        <v>0</v>
      </c>
      <c r="M104" s="129">
        <f t="shared" si="9"/>
        <v>0</v>
      </c>
      <c r="N104" s="129">
        <f t="shared" si="1"/>
        <v>0</v>
      </c>
      <c r="O104" s="547">
        <f t="shared" si="6"/>
        <v>0</v>
      </c>
      <c r="P104" s="130">
        <f t="shared" si="2"/>
        <v>0</v>
      </c>
      <c r="Q104" s="131">
        <f t="shared" si="3"/>
        <v>0</v>
      </c>
      <c r="R104" s="578">
        <f t="shared" si="10"/>
        <v>1</v>
      </c>
    </row>
    <row r="105" spans="1:18" s="57" customFormat="1" ht="24.9" customHeight="1" x14ac:dyDescent="0.25">
      <c r="A105" s="470" t="str">
        <f>'Kalk UHR GS Deisenhofen'!A105</f>
        <v>Schule</v>
      </c>
      <c r="B105" s="302" t="str">
        <f>'Kalk UHR GS Deisenhofen'!B105</f>
        <v>EG</v>
      </c>
      <c r="C105" s="302" t="str">
        <f>'Kalk UHR GS Deisenhofen'!C105</f>
        <v>E.C.10</v>
      </c>
      <c r="D105" s="302" t="str">
        <f>'Kalk UHR GS Deisenhofen'!D105</f>
        <v>Klassenraum 3</v>
      </c>
      <c r="E105" s="302" t="str">
        <f>'Kalk UHR GS Deisenhofen'!E105</f>
        <v>Linoleum</v>
      </c>
      <c r="F105" s="469" t="str">
        <f>'Kalk UHR GS Deisenhofen'!F105</f>
        <v>U1-W3</v>
      </c>
      <c r="G105" s="228" t="str">
        <f t="shared" si="8"/>
        <v>U1-J0,5</v>
      </c>
      <c r="H105" s="127">
        <f>'Kalk UHR GS Deisenhofen'!G105</f>
        <v>69.63</v>
      </c>
      <c r="I105" s="97" t="s">
        <v>909</v>
      </c>
      <c r="J105" s="328">
        <f>VLOOKUP(I105,Turnus!$D$9:$E$26,2,FALSE)</f>
        <v>0.5</v>
      </c>
      <c r="K105" s="127">
        <f t="shared" si="0"/>
        <v>34.814999999999998</v>
      </c>
      <c r="L105" s="128">
        <f>VLOOKUP($G105,'Leistungswerte GR Schulen'!$C$6:$F$53,4,FALSE)</f>
        <v>0</v>
      </c>
      <c r="M105" s="129">
        <f t="shared" si="9"/>
        <v>0</v>
      </c>
      <c r="N105" s="129">
        <f t="shared" si="1"/>
        <v>0</v>
      </c>
      <c r="O105" s="547">
        <f t="shared" si="6"/>
        <v>0</v>
      </c>
      <c r="P105" s="130">
        <f t="shared" si="2"/>
        <v>0</v>
      </c>
      <c r="Q105" s="131">
        <f t="shared" si="3"/>
        <v>0</v>
      </c>
      <c r="R105" s="578">
        <f t="shared" si="10"/>
        <v>1</v>
      </c>
    </row>
    <row r="106" spans="1:18" s="57" customFormat="1" ht="24.9" customHeight="1" x14ac:dyDescent="0.25">
      <c r="A106" s="470" t="str">
        <f>'Kalk UHR GS Deisenhofen'!A106</f>
        <v>Schule</v>
      </c>
      <c r="B106" s="302" t="str">
        <f>'Kalk UHR GS Deisenhofen'!B106</f>
        <v>EG</v>
      </c>
      <c r="C106" s="302" t="str">
        <f>'Kalk UHR GS Deisenhofen'!C106</f>
        <v>E.C.11</v>
      </c>
      <c r="D106" s="302" t="str">
        <f>'Kalk UHR GS Deisenhofen'!D106</f>
        <v>Gruppenraum</v>
      </c>
      <c r="E106" s="302" t="str">
        <f>'Kalk UHR GS Deisenhofen'!E106</f>
        <v>Linoleum</v>
      </c>
      <c r="F106" s="469" t="str">
        <f>'Kalk UHR GS Deisenhofen'!F106</f>
        <v>G1-W3</v>
      </c>
      <c r="G106" s="228" t="str">
        <f t="shared" si="8"/>
        <v>G1-J0,5</v>
      </c>
      <c r="H106" s="127">
        <f>'Kalk UHR GS Deisenhofen'!G106</f>
        <v>27.22</v>
      </c>
      <c r="I106" s="97" t="s">
        <v>909</v>
      </c>
      <c r="J106" s="328">
        <f>VLOOKUP(I106,Turnus!$D$9:$E$26,2,FALSE)</f>
        <v>0.5</v>
      </c>
      <c r="K106" s="127">
        <f t="shared" si="0"/>
        <v>13.61</v>
      </c>
      <c r="L106" s="128">
        <f>VLOOKUP($G106,'Leistungswerte GR Schulen'!$C$6:$F$53,4,FALSE)</f>
        <v>0</v>
      </c>
      <c r="M106" s="129">
        <f t="shared" si="9"/>
        <v>0</v>
      </c>
      <c r="N106" s="129">
        <f t="shared" si="1"/>
        <v>0</v>
      </c>
      <c r="O106" s="547">
        <f t="shared" si="6"/>
        <v>0</v>
      </c>
      <c r="P106" s="130">
        <f t="shared" si="2"/>
        <v>0</v>
      </c>
      <c r="Q106" s="131">
        <f t="shared" si="3"/>
        <v>0</v>
      </c>
      <c r="R106" s="578">
        <f t="shared" si="10"/>
        <v>1</v>
      </c>
    </row>
    <row r="107" spans="1:18" s="57" customFormat="1" ht="24.9" customHeight="1" x14ac:dyDescent="0.25">
      <c r="A107" s="470" t="str">
        <f>'Kalk UHR GS Deisenhofen'!A107</f>
        <v>Schule</v>
      </c>
      <c r="B107" s="302" t="str">
        <f>'Kalk UHR GS Deisenhofen'!B107</f>
        <v>EG</v>
      </c>
      <c r="C107" s="302" t="str">
        <f>'Kalk UHR GS Deisenhofen'!C107</f>
        <v>E.C.12</v>
      </c>
      <c r="D107" s="302" t="str">
        <f>'Kalk UHR GS Deisenhofen'!D107</f>
        <v>Klassenraum 4</v>
      </c>
      <c r="E107" s="302" t="str">
        <f>'Kalk UHR GS Deisenhofen'!E107</f>
        <v>Linoleum</v>
      </c>
      <c r="F107" s="469" t="str">
        <f>'Kalk UHR GS Deisenhofen'!F107</f>
        <v>U1-W3</v>
      </c>
      <c r="G107" s="228" t="str">
        <f t="shared" si="8"/>
        <v>U1-J0,5</v>
      </c>
      <c r="H107" s="127">
        <f>'Kalk UHR GS Deisenhofen'!G107</f>
        <v>69.63</v>
      </c>
      <c r="I107" s="97" t="s">
        <v>909</v>
      </c>
      <c r="J107" s="328">
        <f>VLOOKUP(I107,Turnus!$D$9:$E$26,2,FALSE)</f>
        <v>0.5</v>
      </c>
      <c r="K107" s="127">
        <f t="shared" si="0"/>
        <v>34.814999999999998</v>
      </c>
      <c r="L107" s="128">
        <f>VLOOKUP($G107,'Leistungswerte GR Schulen'!$C$6:$F$53,4,FALSE)</f>
        <v>0</v>
      </c>
      <c r="M107" s="129">
        <f t="shared" si="9"/>
        <v>0</v>
      </c>
      <c r="N107" s="129">
        <f t="shared" si="1"/>
        <v>0</v>
      </c>
      <c r="O107" s="547">
        <f t="shared" si="6"/>
        <v>0</v>
      </c>
      <c r="P107" s="130">
        <f t="shared" si="2"/>
        <v>0</v>
      </c>
      <c r="Q107" s="131">
        <f t="shared" si="3"/>
        <v>0</v>
      </c>
      <c r="R107" s="578">
        <f t="shared" si="10"/>
        <v>1</v>
      </c>
    </row>
    <row r="108" spans="1:18" s="57" customFormat="1" ht="24.9" customHeight="1" x14ac:dyDescent="0.25">
      <c r="A108" s="470" t="str">
        <f>'Kalk UHR GS Deisenhofen'!A108</f>
        <v>Schule</v>
      </c>
      <c r="B108" s="302" t="str">
        <f>'Kalk UHR GS Deisenhofen'!B108</f>
        <v>EG</v>
      </c>
      <c r="C108" s="302" t="str">
        <f>'Kalk UHR GS Deisenhofen'!C108</f>
        <v>E.C.13</v>
      </c>
      <c r="D108" s="302" t="str">
        <f>'Kalk UHR GS Deisenhofen'!D108</f>
        <v>Garderobe</v>
      </c>
      <c r="E108" s="302" t="str">
        <f>'Kalk UHR GS Deisenhofen'!E108</f>
        <v>Linoleum</v>
      </c>
      <c r="F108" s="469" t="str">
        <f>'Kalk UHR GS Deisenhofen'!F108</f>
        <v>H1-W3</v>
      </c>
      <c r="G108" s="228" t="str">
        <f t="shared" si="8"/>
        <v>H1-J0,5</v>
      </c>
      <c r="H108" s="127">
        <f>'Kalk UHR GS Deisenhofen'!G108</f>
        <v>11.66</v>
      </c>
      <c r="I108" s="97" t="s">
        <v>909</v>
      </c>
      <c r="J108" s="328">
        <f>VLOOKUP(I108,Turnus!$D$9:$E$26,2,FALSE)</f>
        <v>0.5</v>
      </c>
      <c r="K108" s="127">
        <f t="shared" si="0"/>
        <v>5.83</v>
      </c>
      <c r="L108" s="128">
        <f>VLOOKUP($G108,'Leistungswerte GR Schulen'!$C$6:$F$53,4,FALSE)</f>
        <v>0</v>
      </c>
      <c r="M108" s="129">
        <f t="shared" si="9"/>
        <v>0</v>
      </c>
      <c r="N108" s="129">
        <f t="shared" si="1"/>
        <v>0</v>
      </c>
      <c r="O108" s="547">
        <f t="shared" si="6"/>
        <v>0</v>
      </c>
      <c r="P108" s="130">
        <f t="shared" si="2"/>
        <v>0</v>
      </c>
      <c r="Q108" s="131">
        <f t="shared" si="3"/>
        <v>0</v>
      </c>
      <c r="R108" s="578">
        <f t="shared" si="10"/>
        <v>1</v>
      </c>
    </row>
    <row r="109" spans="1:18" s="57" customFormat="1" ht="24.9" customHeight="1" x14ac:dyDescent="0.25">
      <c r="A109" s="470" t="str">
        <f>'Kalk UHR GS Deisenhofen'!A109</f>
        <v>Schule</v>
      </c>
      <c r="B109" s="302" t="str">
        <f>'Kalk UHR GS Deisenhofen'!B109</f>
        <v>EG</v>
      </c>
      <c r="C109" s="302" t="str">
        <f>'Kalk UHR GS Deisenhofen'!C109</f>
        <v>E.C.F.04</v>
      </c>
      <c r="D109" s="302" t="str">
        <f>'Kalk UHR GS Deisenhofen'!D109</f>
        <v>Flur</v>
      </c>
      <c r="E109" s="302" t="str">
        <f>'Kalk UHR GS Deisenhofen'!E109</f>
        <v>Naturstein</v>
      </c>
      <c r="F109" s="469" t="str">
        <f>'Kalk UHR GS Deisenhofen'!F109</f>
        <v>F1-W5</v>
      </c>
      <c r="G109" s="228" t="str">
        <f t="shared" si="8"/>
        <v>F1-J0,5</v>
      </c>
      <c r="H109" s="127">
        <f>'Kalk UHR GS Deisenhofen'!G109</f>
        <v>128.16</v>
      </c>
      <c r="I109" s="97" t="s">
        <v>909</v>
      </c>
      <c r="J109" s="328">
        <f>VLOOKUP(I109,Turnus!$D$9:$E$26,2,FALSE)</f>
        <v>0.5</v>
      </c>
      <c r="K109" s="127">
        <f t="shared" si="0"/>
        <v>64.08</v>
      </c>
      <c r="L109" s="128">
        <f>VLOOKUP($G109,'Leistungswerte GR Schulen'!$C$6:$F$53,4,FALSE)</f>
        <v>0</v>
      </c>
      <c r="M109" s="129">
        <f t="shared" si="9"/>
        <v>0</v>
      </c>
      <c r="N109" s="129">
        <f t="shared" si="1"/>
        <v>0</v>
      </c>
      <c r="O109" s="547">
        <f t="shared" si="6"/>
        <v>0</v>
      </c>
      <c r="P109" s="130">
        <f t="shared" si="2"/>
        <v>0</v>
      </c>
      <c r="Q109" s="131">
        <f t="shared" si="3"/>
        <v>0</v>
      </c>
      <c r="R109" s="578">
        <f t="shared" si="10"/>
        <v>1</v>
      </c>
    </row>
    <row r="110" spans="1:18" s="57" customFormat="1" ht="24.9" customHeight="1" x14ac:dyDescent="0.25">
      <c r="A110" s="470" t="str">
        <f>'Kalk UHR GS Deisenhofen'!A110</f>
        <v>Schule</v>
      </c>
      <c r="B110" s="302" t="str">
        <f>'Kalk UHR GS Deisenhofen'!B110</f>
        <v>EG</v>
      </c>
      <c r="C110" s="302" t="str">
        <f>'Kalk UHR GS Deisenhofen'!C110</f>
        <v>E.C.14</v>
      </c>
      <c r="D110" s="302" t="str">
        <f>'Kalk UHR GS Deisenhofen'!D110</f>
        <v>ELT</v>
      </c>
      <c r="E110" s="302">
        <f>'Kalk UHR GS Deisenhofen'!E110</f>
        <v>0</v>
      </c>
      <c r="F110" s="469" t="str">
        <f>'Kalk UHR GS Deisenhofen'!F110</f>
        <v>Z-kR</v>
      </c>
      <c r="G110" s="228" t="str">
        <f t="shared" si="8"/>
        <v>Z--kR</v>
      </c>
      <c r="H110" s="127">
        <f>'Kalk UHR GS Deisenhofen'!G110</f>
        <v>4.47</v>
      </c>
      <c r="I110" s="97" t="s">
        <v>68</v>
      </c>
      <c r="J110" s="328">
        <f>VLOOKUP(I110,Turnus!$D$9:$E$26,2,FALSE)</f>
        <v>0</v>
      </c>
      <c r="K110" s="127">
        <f t="shared" ref="K110:K126" si="15">+H110*J110</f>
        <v>0</v>
      </c>
      <c r="L110" s="128">
        <f>VLOOKUP($G110,'Leistungswerte GR Schulen'!$C$6:$F$53,4,FALSE)</f>
        <v>0</v>
      </c>
      <c r="M110" s="129">
        <f t="shared" si="9"/>
        <v>0</v>
      </c>
      <c r="N110" s="129">
        <f t="shared" ref="N110:N126" si="16">IF(ISERROR(K110/L110),0,K110/L110)</f>
        <v>0</v>
      </c>
      <c r="O110" s="547">
        <f t="shared" si="6"/>
        <v>0</v>
      </c>
      <c r="P110" s="130">
        <f t="shared" ref="P110:P126" si="17">IF(ISERROR(H110/L110*O110),0,H110/L110*O110)</f>
        <v>0</v>
      </c>
      <c r="Q110" s="131">
        <f t="shared" ref="Q110:Q126" si="18">+N110*O110</f>
        <v>0</v>
      </c>
      <c r="R110" s="578">
        <f t="shared" si="10"/>
        <v>1</v>
      </c>
    </row>
    <row r="111" spans="1:18" s="57" customFormat="1" ht="24.9" customHeight="1" x14ac:dyDescent="0.25">
      <c r="A111" s="470" t="str">
        <f>'Kalk UHR GS Deisenhofen'!A111</f>
        <v>Schule</v>
      </c>
      <c r="B111" s="302" t="str">
        <f>'Kalk UHR GS Deisenhofen'!B111</f>
        <v>EG</v>
      </c>
      <c r="C111" s="302" t="str">
        <f>'Kalk UHR GS Deisenhofen'!C111</f>
        <v>E.C.15</v>
      </c>
      <c r="D111" s="302" t="str">
        <f>'Kalk UHR GS Deisenhofen'!D111</f>
        <v>Lehrmittel</v>
      </c>
      <c r="E111" s="302" t="str">
        <f>'Kalk UHR GS Deisenhofen'!E111</f>
        <v>Linoleum</v>
      </c>
      <c r="F111" s="469" t="str">
        <f>'Kalk UHR GS Deisenhofen'!F111</f>
        <v>L1-M1</v>
      </c>
      <c r="G111" s="228" t="str">
        <f t="shared" si="8"/>
        <v>L1-J0,5</v>
      </c>
      <c r="H111" s="127">
        <f>'Kalk UHR GS Deisenhofen'!G111</f>
        <v>9.81</v>
      </c>
      <c r="I111" s="97" t="s">
        <v>909</v>
      </c>
      <c r="J111" s="328">
        <f>VLOOKUP(I111,Turnus!$D$9:$E$26,2,FALSE)</f>
        <v>0.5</v>
      </c>
      <c r="K111" s="127">
        <f t="shared" si="15"/>
        <v>4.9050000000000002</v>
      </c>
      <c r="L111" s="128">
        <f>VLOOKUP($G111,'Leistungswerte GR Schulen'!$C$6:$F$53,4,FALSE)</f>
        <v>0</v>
      </c>
      <c r="M111" s="129">
        <f t="shared" si="9"/>
        <v>0</v>
      </c>
      <c r="N111" s="129">
        <f t="shared" si="16"/>
        <v>0</v>
      </c>
      <c r="O111" s="547">
        <f t="shared" si="6"/>
        <v>0</v>
      </c>
      <c r="P111" s="130">
        <f t="shared" si="17"/>
        <v>0</v>
      </c>
      <c r="Q111" s="131">
        <f t="shared" si="18"/>
        <v>0</v>
      </c>
      <c r="R111" s="578">
        <f t="shared" si="10"/>
        <v>1</v>
      </c>
    </row>
    <row r="112" spans="1:18" s="57" customFormat="1" ht="24.9" customHeight="1" x14ac:dyDescent="0.25">
      <c r="A112" s="470" t="str">
        <f>'Kalk UHR GS Deisenhofen'!A112</f>
        <v>Schule</v>
      </c>
      <c r="B112" s="302" t="str">
        <f>'Kalk UHR GS Deisenhofen'!B112</f>
        <v>EG</v>
      </c>
      <c r="C112" s="302" t="str">
        <f>'Kalk UHR GS Deisenhofen'!C112</f>
        <v>E.C.16</v>
      </c>
      <c r="D112" s="302" t="str">
        <f>'Kalk UHR GS Deisenhofen'!D112</f>
        <v>WC-Lehrer</v>
      </c>
      <c r="E112" s="302" t="str">
        <f>'Kalk UHR GS Deisenhofen'!E112</f>
        <v>Fliesen</v>
      </c>
      <c r="F112" s="469" t="str">
        <f>'Kalk UHR GS Deisenhofen'!F112</f>
        <v>S1-W5</v>
      </c>
      <c r="G112" s="228" t="str">
        <f t="shared" si="8"/>
        <v>S1-J1</v>
      </c>
      <c r="H112" s="127">
        <f>'Kalk UHR GS Deisenhofen'!G112</f>
        <v>3.17</v>
      </c>
      <c r="I112" s="97" t="s">
        <v>54</v>
      </c>
      <c r="J112" s="328">
        <f>VLOOKUP(I112,Turnus!$D$9:$E$26,2,FALSE)</f>
        <v>1</v>
      </c>
      <c r="K112" s="127">
        <f t="shared" si="15"/>
        <v>3.17</v>
      </c>
      <c r="L112" s="128">
        <f>VLOOKUP($G112,'Leistungswerte GR Schulen'!$C$6:$F$53,4,FALSE)</f>
        <v>0</v>
      </c>
      <c r="M112" s="129">
        <f t="shared" si="9"/>
        <v>0</v>
      </c>
      <c r="N112" s="129">
        <f t="shared" si="16"/>
        <v>0</v>
      </c>
      <c r="O112" s="547">
        <f t="shared" si="6"/>
        <v>0</v>
      </c>
      <c r="P112" s="130">
        <f t="shared" si="17"/>
        <v>0</v>
      </c>
      <c r="Q112" s="131">
        <f t="shared" si="18"/>
        <v>0</v>
      </c>
      <c r="R112" s="578">
        <f t="shared" si="10"/>
        <v>1</v>
      </c>
    </row>
    <row r="113" spans="1:18" s="57" customFormat="1" ht="24.9" customHeight="1" x14ac:dyDescent="0.25">
      <c r="A113" s="470" t="str">
        <f>'Kalk UHR GS Deisenhofen'!A113</f>
        <v>Schule</v>
      </c>
      <c r="B113" s="302" t="str">
        <f>'Kalk UHR GS Deisenhofen'!B113</f>
        <v>EG</v>
      </c>
      <c r="C113" s="302" t="str">
        <f>'Kalk UHR GS Deisenhofen'!C113</f>
        <v>E.C.17</v>
      </c>
      <c r="D113" s="302" t="str">
        <f>'Kalk UHR GS Deisenhofen'!D113</f>
        <v>WC-Mädchen</v>
      </c>
      <c r="E113" s="302" t="str">
        <f>'Kalk UHR GS Deisenhofen'!E113</f>
        <v>Fliesen</v>
      </c>
      <c r="F113" s="469" t="str">
        <f>'Kalk UHR GS Deisenhofen'!F113</f>
        <v>S1-W5</v>
      </c>
      <c r="G113" s="228" t="str">
        <f t="shared" ref="G113:G176" si="19">CONCATENATE((LEFT(F113,2)),"-",I113)</f>
        <v>S1-J1</v>
      </c>
      <c r="H113" s="127">
        <f>'Kalk UHR GS Deisenhofen'!G113</f>
        <v>18.5</v>
      </c>
      <c r="I113" s="97" t="s">
        <v>54</v>
      </c>
      <c r="J113" s="328">
        <f>VLOOKUP(I113,Turnus!$D$9:$E$26,2,FALSE)</f>
        <v>1</v>
      </c>
      <c r="K113" s="127">
        <f t="shared" si="15"/>
        <v>18.5</v>
      </c>
      <c r="L113" s="128">
        <f>VLOOKUP($G113,'Leistungswerte GR Schulen'!$C$6:$F$53,4,FALSE)</f>
        <v>0</v>
      </c>
      <c r="M113" s="129">
        <f t="shared" si="9"/>
        <v>0</v>
      </c>
      <c r="N113" s="129">
        <f t="shared" si="16"/>
        <v>0</v>
      </c>
      <c r="O113" s="547">
        <f t="shared" si="6"/>
        <v>0</v>
      </c>
      <c r="P113" s="130">
        <f t="shared" si="17"/>
        <v>0</v>
      </c>
      <c r="Q113" s="131">
        <f t="shared" si="18"/>
        <v>0</v>
      </c>
      <c r="R113" s="578">
        <f t="shared" si="10"/>
        <v>1</v>
      </c>
    </row>
    <row r="114" spans="1:18" s="57" customFormat="1" ht="24.9" customHeight="1" x14ac:dyDescent="0.25">
      <c r="A114" s="470" t="str">
        <f>'Kalk UHR GS Deisenhofen'!A114</f>
        <v>Schule</v>
      </c>
      <c r="B114" s="302" t="str">
        <f>'Kalk UHR GS Deisenhofen'!B114</f>
        <v>EG</v>
      </c>
      <c r="C114" s="302" t="str">
        <f>'Kalk UHR GS Deisenhofen'!C114</f>
        <v>E.C.18</v>
      </c>
      <c r="D114" s="302" t="str">
        <f>'Kalk UHR GS Deisenhofen'!D114</f>
        <v>WC-Jungen</v>
      </c>
      <c r="E114" s="302" t="str">
        <f>'Kalk UHR GS Deisenhofen'!E114</f>
        <v>Fliesen</v>
      </c>
      <c r="F114" s="469" t="str">
        <f>'Kalk UHR GS Deisenhofen'!F114</f>
        <v>S1-W5</v>
      </c>
      <c r="G114" s="228" t="str">
        <f t="shared" si="19"/>
        <v>S1-J1</v>
      </c>
      <c r="H114" s="127">
        <f>'Kalk UHR GS Deisenhofen'!G114</f>
        <v>18.45</v>
      </c>
      <c r="I114" s="97" t="s">
        <v>54</v>
      </c>
      <c r="J114" s="328">
        <f>VLOOKUP(I114,Turnus!$D$9:$E$26,2,FALSE)</f>
        <v>1</v>
      </c>
      <c r="K114" s="127">
        <f t="shared" si="15"/>
        <v>18.45</v>
      </c>
      <c r="L114" s="128">
        <f>VLOOKUP($G114,'Leistungswerte GR Schulen'!$C$6:$F$53,4,FALSE)</f>
        <v>0</v>
      </c>
      <c r="M114" s="129">
        <f t="shared" si="9"/>
        <v>0</v>
      </c>
      <c r="N114" s="129">
        <f t="shared" si="16"/>
        <v>0</v>
      </c>
      <c r="O114" s="547">
        <f t="shared" si="6"/>
        <v>0</v>
      </c>
      <c r="P114" s="130">
        <f t="shared" si="17"/>
        <v>0</v>
      </c>
      <c r="Q114" s="131">
        <f t="shared" si="18"/>
        <v>0</v>
      </c>
      <c r="R114" s="578">
        <f t="shared" si="10"/>
        <v>1</v>
      </c>
    </row>
    <row r="115" spans="1:18" s="57" customFormat="1" ht="24.9" customHeight="1" x14ac:dyDescent="0.25">
      <c r="A115" s="470" t="str">
        <f>'Kalk UHR GS Deisenhofen'!A115</f>
        <v>Schule</v>
      </c>
      <c r="B115" s="302" t="str">
        <f>'Kalk UHR GS Deisenhofen'!B115</f>
        <v>EG</v>
      </c>
      <c r="C115" s="302" t="str">
        <f>'Kalk UHR GS Deisenhofen'!C115</f>
        <v>E.C.19</v>
      </c>
      <c r="D115" s="302" t="str">
        <f>'Kalk UHR GS Deisenhofen'!D115</f>
        <v>WC-Behinderte</v>
      </c>
      <c r="E115" s="302" t="str">
        <f>'Kalk UHR GS Deisenhofen'!E115</f>
        <v>Fliesen</v>
      </c>
      <c r="F115" s="469" t="str">
        <f>'Kalk UHR GS Deisenhofen'!F115</f>
        <v>S1-W5</v>
      </c>
      <c r="G115" s="228" t="str">
        <f t="shared" si="19"/>
        <v>S1-J1</v>
      </c>
      <c r="H115" s="127">
        <f>'Kalk UHR GS Deisenhofen'!G115</f>
        <v>6.53</v>
      </c>
      <c r="I115" s="97" t="s">
        <v>54</v>
      </c>
      <c r="J115" s="328">
        <f>VLOOKUP(I115,Turnus!$D$9:$E$26,2,FALSE)</f>
        <v>1</v>
      </c>
      <c r="K115" s="127">
        <f t="shared" si="15"/>
        <v>6.53</v>
      </c>
      <c r="L115" s="128">
        <f>VLOOKUP($G115,'Leistungswerte GR Schulen'!$C$6:$F$53,4,FALSE)</f>
        <v>0</v>
      </c>
      <c r="M115" s="129">
        <f t="shared" si="9"/>
        <v>0</v>
      </c>
      <c r="N115" s="129">
        <f t="shared" si="16"/>
        <v>0</v>
      </c>
      <c r="O115" s="547">
        <f t="shared" si="6"/>
        <v>0</v>
      </c>
      <c r="P115" s="130">
        <f t="shared" si="17"/>
        <v>0</v>
      </c>
      <c r="Q115" s="131">
        <f t="shared" si="18"/>
        <v>0</v>
      </c>
      <c r="R115" s="578">
        <f t="shared" si="10"/>
        <v>1</v>
      </c>
    </row>
    <row r="116" spans="1:18" s="57" customFormat="1" ht="24.9" customHeight="1" x14ac:dyDescent="0.25">
      <c r="A116" s="470" t="str">
        <f>'Kalk UHR GS Deisenhofen'!A116</f>
        <v>Schule</v>
      </c>
      <c r="B116" s="302" t="str">
        <f>'Kalk UHR GS Deisenhofen'!B116</f>
        <v>EG</v>
      </c>
      <c r="C116" s="302" t="str">
        <f>'Kalk UHR GS Deisenhofen'!C116</f>
        <v>E.C.20</v>
      </c>
      <c r="D116" s="302" t="str">
        <f>'Kalk UHR GS Deisenhofen'!D116</f>
        <v>Garderobe</v>
      </c>
      <c r="E116" s="302" t="str">
        <f>'Kalk UHR GS Deisenhofen'!E116</f>
        <v>Linoleum</v>
      </c>
      <c r="F116" s="469" t="str">
        <f>'Kalk UHR GS Deisenhofen'!F116</f>
        <v>H1-W3</v>
      </c>
      <c r="G116" s="228" t="str">
        <f t="shared" si="19"/>
        <v>H1-J0,5</v>
      </c>
      <c r="H116" s="127">
        <f>'Kalk UHR GS Deisenhofen'!G116</f>
        <v>11.66</v>
      </c>
      <c r="I116" s="97" t="s">
        <v>909</v>
      </c>
      <c r="J116" s="328">
        <f>VLOOKUP(I116,Turnus!$D$9:$E$26,2,FALSE)</f>
        <v>0.5</v>
      </c>
      <c r="K116" s="127">
        <f t="shared" si="15"/>
        <v>5.83</v>
      </c>
      <c r="L116" s="128">
        <f>VLOOKUP($G116,'Leistungswerte GR Schulen'!$C$6:$F$53,4,FALSE)</f>
        <v>0</v>
      </c>
      <c r="M116" s="129">
        <f t="shared" si="9"/>
        <v>0</v>
      </c>
      <c r="N116" s="129">
        <f t="shared" si="16"/>
        <v>0</v>
      </c>
      <c r="O116" s="547">
        <f t="shared" si="6"/>
        <v>0</v>
      </c>
      <c r="P116" s="130">
        <f t="shared" si="17"/>
        <v>0</v>
      </c>
      <c r="Q116" s="131">
        <f t="shared" si="18"/>
        <v>0</v>
      </c>
      <c r="R116" s="578">
        <f t="shared" si="10"/>
        <v>1</v>
      </c>
    </row>
    <row r="117" spans="1:18" s="57" customFormat="1" ht="24.9" customHeight="1" x14ac:dyDescent="0.25">
      <c r="A117" s="470" t="str">
        <f>'Kalk UHR GS Deisenhofen'!A117</f>
        <v>Schule</v>
      </c>
      <c r="B117" s="302" t="str">
        <f>'Kalk UHR GS Deisenhofen'!B117</f>
        <v>EG</v>
      </c>
      <c r="C117" s="302" t="str">
        <f>'Kalk UHR GS Deisenhofen'!C117</f>
        <v>E.C.21</v>
      </c>
      <c r="D117" s="302" t="str">
        <f>'Kalk UHR GS Deisenhofen'!D117</f>
        <v>Klassenraum 5</v>
      </c>
      <c r="E117" s="302" t="str">
        <f>'Kalk UHR GS Deisenhofen'!E117</f>
        <v>Linoleum</v>
      </c>
      <c r="F117" s="469" t="str">
        <f>'Kalk UHR GS Deisenhofen'!F117</f>
        <v>U1-W3</v>
      </c>
      <c r="G117" s="228" t="str">
        <f t="shared" si="19"/>
        <v>U1-J0,5</v>
      </c>
      <c r="H117" s="127">
        <f>'Kalk UHR GS Deisenhofen'!G117</f>
        <v>69.63</v>
      </c>
      <c r="I117" s="97" t="s">
        <v>909</v>
      </c>
      <c r="J117" s="328">
        <f>VLOOKUP(I117,Turnus!$D$9:$E$26,2,FALSE)</f>
        <v>0.5</v>
      </c>
      <c r="K117" s="127">
        <f t="shared" si="15"/>
        <v>34.814999999999998</v>
      </c>
      <c r="L117" s="128">
        <f>VLOOKUP($G117,'Leistungswerte GR Schulen'!$C$6:$F$53,4,FALSE)</f>
        <v>0</v>
      </c>
      <c r="M117" s="129">
        <f t="shared" si="9"/>
        <v>0</v>
      </c>
      <c r="N117" s="129">
        <f t="shared" si="16"/>
        <v>0</v>
      </c>
      <c r="O117" s="547">
        <f t="shared" si="6"/>
        <v>0</v>
      </c>
      <c r="P117" s="130">
        <f t="shared" si="17"/>
        <v>0</v>
      </c>
      <c r="Q117" s="131">
        <f t="shared" si="18"/>
        <v>0</v>
      </c>
      <c r="R117" s="578">
        <f t="shared" si="10"/>
        <v>1</v>
      </c>
    </row>
    <row r="118" spans="1:18" s="57" customFormat="1" ht="24.9" customHeight="1" x14ac:dyDescent="0.25">
      <c r="A118" s="470" t="str">
        <f>'Kalk UHR GS Deisenhofen'!A118</f>
        <v>Schule</v>
      </c>
      <c r="B118" s="302" t="str">
        <f>'Kalk UHR GS Deisenhofen'!B118</f>
        <v>EG</v>
      </c>
      <c r="C118" s="302" t="str">
        <f>'Kalk UHR GS Deisenhofen'!C118</f>
        <v>E.C.22</v>
      </c>
      <c r="D118" s="302" t="str">
        <f>'Kalk UHR GS Deisenhofen'!D118</f>
        <v>Gruppenraum</v>
      </c>
      <c r="E118" s="302" t="str">
        <f>'Kalk UHR GS Deisenhofen'!E118</f>
        <v>Linoleum</v>
      </c>
      <c r="F118" s="469" t="str">
        <f>'Kalk UHR GS Deisenhofen'!F118</f>
        <v>G1-W3</v>
      </c>
      <c r="G118" s="228" t="str">
        <f t="shared" si="19"/>
        <v>G1-J0,5</v>
      </c>
      <c r="H118" s="127">
        <f>'Kalk UHR GS Deisenhofen'!G118</f>
        <v>27.22</v>
      </c>
      <c r="I118" s="97" t="s">
        <v>909</v>
      </c>
      <c r="J118" s="328">
        <f>VLOOKUP(I118,Turnus!$D$9:$E$26,2,FALSE)</f>
        <v>0.5</v>
      </c>
      <c r="K118" s="127">
        <f t="shared" si="15"/>
        <v>13.61</v>
      </c>
      <c r="L118" s="128">
        <f>VLOOKUP($G118,'Leistungswerte GR Schulen'!$C$6:$F$53,4,FALSE)</f>
        <v>0</v>
      </c>
      <c r="M118" s="129">
        <f t="shared" si="9"/>
        <v>0</v>
      </c>
      <c r="N118" s="129">
        <f t="shared" si="16"/>
        <v>0</v>
      </c>
      <c r="O118" s="547">
        <f t="shared" si="6"/>
        <v>0</v>
      </c>
      <c r="P118" s="130">
        <f t="shared" si="17"/>
        <v>0</v>
      </c>
      <c r="Q118" s="131">
        <f t="shared" si="18"/>
        <v>0</v>
      </c>
      <c r="R118" s="578">
        <f t="shared" si="10"/>
        <v>1</v>
      </c>
    </row>
    <row r="119" spans="1:18" s="57" customFormat="1" ht="24.9" customHeight="1" x14ac:dyDescent="0.25">
      <c r="A119" s="470" t="str">
        <f>'Kalk UHR GS Deisenhofen'!A119</f>
        <v>Schule</v>
      </c>
      <c r="B119" s="302" t="str">
        <f>'Kalk UHR GS Deisenhofen'!B119</f>
        <v>EG</v>
      </c>
      <c r="C119" s="302" t="str">
        <f>'Kalk UHR GS Deisenhofen'!C119</f>
        <v>E.C.23</v>
      </c>
      <c r="D119" s="302" t="str">
        <f>'Kalk UHR GS Deisenhofen'!D119</f>
        <v>Klassenraum 6</v>
      </c>
      <c r="E119" s="302" t="str">
        <f>'Kalk UHR GS Deisenhofen'!E119</f>
        <v>Linoleum</v>
      </c>
      <c r="F119" s="469" t="str">
        <f>'Kalk UHR GS Deisenhofen'!F119</f>
        <v>U1-W3</v>
      </c>
      <c r="G119" s="228" t="str">
        <f t="shared" si="19"/>
        <v>U1-J0,5</v>
      </c>
      <c r="H119" s="127">
        <f>'Kalk UHR GS Deisenhofen'!G119</f>
        <v>69.63</v>
      </c>
      <c r="I119" s="97" t="s">
        <v>909</v>
      </c>
      <c r="J119" s="328">
        <f>VLOOKUP(I119,Turnus!$D$9:$E$26,2,FALSE)</f>
        <v>0.5</v>
      </c>
      <c r="K119" s="127">
        <f t="shared" si="15"/>
        <v>34.814999999999998</v>
      </c>
      <c r="L119" s="128">
        <f>VLOOKUP($G119,'Leistungswerte GR Schulen'!$C$6:$F$53,4,FALSE)</f>
        <v>0</v>
      </c>
      <c r="M119" s="129">
        <f t="shared" si="9"/>
        <v>0</v>
      </c>
      <c r="N119" s="129">
        <f t="shared" si="16"/>
        <v>0</v>
      </c>
      <c r="O119" s="547">
        <f t="shared" si="6"/>
        <v>0</v>
      </c>
      <c r="P119" s="130">
        <f t="shared" si="17"/>
        <v>0</v>
      </c>
      <c r="Q119" s="131">
        <f t="shared" si="18"/>
        <v>0</v>
      </c>
      <c r="R119" s="578">
        <f t="shared" si="10"/>
        <v>1</v>
      </c>
    </row>
    <row r="120" spans="1:18" s="57" customFormat="1" ht="24.9" customHeight="1" x14ac:dyDescent="0.25">
      <c r="A120" s="470" t="str">
        <f>'Kalk UHR GS Deisenhofen'!A120</f>
        <v>Schule</v>
      </c>
      <c r="B120" s="302" t="str">
        <f>'Kalk UHR GS Deisenhofen'!B120</f>
        <v>EG</v>
      </c>
      <c r="C120" s="302" t="str">
        <f>'Kalk UHR GS Deisenhofen'!C120</f>
        <v>E.C.24</v>
      </c>
      <c r="D120" s="302" t="str">
        <f>'Kalk UHR GS Deisenhofen'!D120</f>
        <v>Garderobe</v>
      </c>
      <c r="E120" s="302" t="str">
        <f>'Kalk UHR GS Deisenhofen'!E120</f>
        <v>Linoleum</v>
      </c>
      <c r="F120" s="469" t="str">
        <f>'Kalk UHR GS Deisenhofen'!F120</f>
        <v>H1-W3</v>
      </c>
      <c r="G120" s="228" t="str">
        <f t="shared" si="19"/>
        <v>H1-J0,5</v>
      </c>
      <c r="H120" s="127">
        <f>'Kalk UHR GS Deisenhofen'!G120</f>
        <v>11.66</v>
      </c>
      <c r="I120" s="97" t="s">
        <v>909</v>
      </c>
      <c r="J120" s="328">
        <f>VLOOKUP(I120,Turnus!$D$9:$E$26,2,FALSE)</f>
        <v>0.5</v>
      </c>
      <c r="K120" s="127">
        <f t="shared" si="15"/>
        <v>5.83</v>
      </c>
      <c r="L120" s="128">
        <f>VLOOKUP($G120,'Leistungswerte GR Schulen'!$C$6:$F$53,4,FALSE)</f>
        <v>0</v>
      </c>
      <c r="M120" s="129">
        <f t="shared" si="9"/>
        <v>0</v>
      </c>
      <c r="N120" s="129">
        <f t="shared" si="16"/>
        <v>0</v>
      </c>
      <c r="O120" s="547">
        <f t="shared" si="6"/>
        <v>0</v>
      </c>
      <c r="P120" s="130">
        <f t="shared" si="17"/>
        <v>0</v>
      </c>
      <c r="Q120" s="131">
        <f t="shared" si="18"/>
        <v>0</v>
      </c>
      <c r="R120" s="578">
        <f t="shared" si="10"/>
        <v>1</v>
      </c>
    </row>
    <row r="121" spans="1:18" s="57" customFormat="1" ht="24.9" customHeight="1" x14ac:dyDescent="0.25">
      <c r="A121" s="470" t="str">
        <f>'Kalk UHR GS Deisenhofen'!A121</f>
        <v>Schule</v>
      </c>
      <c r="B121" s="302" t="str">
        <f>'Kalk UHR GS Deisenhofen'!B121</f>
        <v>EG</v>
      </c>
      <c r="C121" s="302" t="str">
        <f>'Kalk UHR GS Deisenhofen'!C121</f>
        <v>E.C.T.03</v>
      </c>
      <c r="D121" s="302" t="str">
        <f>'Kalk UHR GS Deisenhofen'!D121</f>
        <v>Treppe</v>
      </c>
      <c r="E121" s="302" t="str">
        <f>'Kalk UHR GS Deisenhofen'!E121</f>
        <v>Naturstein</v>
      </c>
      <c r="F121" s="469" t="str">
        <f>'Kalk UHR GS Deisenhofen'!F121</f>
        <v>F3-W5</v>
      </c>
      <c r="G121" s="228" t="str">
        <f t="shared" si="19"/>
        <v>F3-J0,5</v>
      </c>
      <c r="H121" s="127">
        <f>'Kalk UHR GS Deisenhofen'!G121</f>
        <v>8.7899999999999991</v>
      </c>
      <c r="I121" s="97" t="s">
        <v>909</v>
      </c>
      <c r="J121" s="328">
        <f>VLOOKUP(I121,Turnus!$D$9:$E$26,2,FALSE)</f>
        <v>0.5</v>
      </c>
      <c r="K121" s="127">
        <f t="shared" si="15"/>
        <v>4.3949999999999996</v>
      </c>
      <c r="L121" s="128">
        <f>VLOOKUP($G121,'Leistungswerte GR Schulen'!$C$6:$F$53,4,FALSE)</f>
        <v>0</v>
      </c>
      <c r="M121" s="129">
        <f t="shared" si="9"/>
        <v>0</v>
      </c>
      <c r="N121" s="129">
        <f t="shared" si="16"/>
        <v>0</v>
      </c>
      <c r="O121" s="547">
        <f t="shared" si="6"/>
        <v>0</v>
      </c>
      <c r="P121" s="130">
        <f t="shared" si="17"/>
        <v>0</v>
      </c>
      <c r="Q121" s="131">
        <f t="shared" si="18"/>
        <v>0</v>
      </c>
      <c r="R121" s="578">
        <f t="shared" si="10"/>
        <v>1</v>
      </c>
    </row>
    <row r="122" spans="1:18" s="57" customFormat="1" ht="24.9" customHeight="1" x14ac:dyDescent="0.25">
      <c r="A122" s="470" t="str">
        <f>'Kalk UHR GS Deisenhofen'!A122</f>
        <v>Schule</v>
      </c>
      <c r="B122" s="302" t="str">
        <f>'Kalk UHR GS Deisenhofen'!B122</f>
        <v>EG</v>
      </c>
      <c r="C122" s="302" t="str">
        <f>'Kalk UHR GS Deisenhofen'!C122</f>
        <v>E.C.25</v>
      </c>
      <c r="D122" s="302" t="str">
        <f>'Kalk UHR GS Deisenhofen'!D122</f>
        <v>Lager</v>
      </c>
      <c r="E122" s="302" t="str">
        <f>'Kalk UHR GS Deisenhofen'!E122</f>
        <v>Linoleum</v>
      </c>
      <c r="F122" s="469" t="str">
        <f>'Kalk UHR GS Deisenhofen'!F122</f>
        <v>L1-M1</v>
      </c>
      <c r="G122" s="414" t="str">
        <f t="shared" si="19"/>
        <v>L1-J0,5</v>
      </c>
      <c r="H122" s="127">
        <f>'Kalk UHR GS Deisenhofen'!G122</f>
        <v>7.18</v>
      </c>
      <c r="I122" s="97" t="s">
        <v>909</v>
      </c>
      <c r="J122" s="328">
        <f>VLOOKUP(I122,Turnus!$D$9:$E$26,2,FALSE)</f>
        <v>0.5</v>
      </c>
      <c r="K122" s="127">
        <f t="shared" si="15"/>
        <v>3.59</v>
      </c>
      <c r="L122" s="128">
        <f>VLOOKUP($G122,'Leistungswerte GR Schulen'!$C$6:$F$53,4,FALSE)</f>
        <v>0</v>
      </c>
      <c r="M122" s="129">
        <f t="shared" si="9"/>
        <v>0</v>
      </c>
      <c r="N122" s="129">
        <f t="shared" si="16"/>
        <v>0</v>
      </c>
      <c r="O122" s="547">
        <f t="shared" si="6"/>
        <v>0</v>
      </c>
      <c r="P122" s="130">
        <f t="shared" si="17"/>
        <v>0</v>
      </c>
      <c r="Q122" s="131">
        <f t="shared" si="18"/>
        <v>0</v>
      </c>
      <c r="R122" s="578">
        <f t="shared" si="10"/>
        <v>1</v>
      </c>
    </row>
    <row r="123" spans="1:18" s="57" customFormat="1" ht="24.9" customHeight="1" x14ac:dyDescent="0.25">
      <c r="A123" s="470" t="str">
        <f>'Kalk UHR GS Deisenhofen'!A123</f>
        <v>Schule</v>
      </c>
      <c r="B123" s="302" t="str">
        <f>'Kalk UHR GS Deisenhofen'!B123</f>
        <v>EG</v>
      </c>
      <c r="C123" s="302" t="str">
        <f>'Kalk UHR GS Deisenhofen'!C123</f>
        <v>E.C.F.06</v>
      </c>
      <c r="D123" s="302" t="str">
        <f>'Kalk UHR GS Deisenhofen'!D123</f>
        <v>Flur</v>
      </c>
      <c r="E123" s="302" t="str">
        <f>'Kalk UHR GS Deisenhofen'!E123</f>
        <v>Linoleum</v>
      </c>
      <c r="F123" s="469" t="str">
        <f>'Kalk UHR GS Deisenhofen'!F123</f>
        <v>F1-W5</v>
      </c>
      <c r="G123" s="228" t="str">
        <f t="shared" si="19"/>
        <v>F1-J0,5</v>
      </c>
      <c r="H123" s="127">
        <f>'Kalk UHR GS Deisenhofen'!G123</f>
        <v>70.260000000000005</v>
      </c>
      <c r="I123" s="97" t="s">
        <v>909</v>
      </c>
      <c r="J123" s="328">
        <f>VLOOKUP(I123,Turnus!$D$9:$E$26,2,FALSE)</f>
        <v>0.5</v>
      </c>
      <c r="K123" s="127">
        <f t="shared" si="15"/>
        <v>35.130000000000003</v>
      </c>
      <c r="L123" s="128">
        <f>VLOOKUP($G123,'Leistungswerte GR Schulen'!$C$6:$F$53,4,FALSE)</f>
        <v>0</v>
      </c>
      <c r="M123" s="129">
        <f t="shared" si="9"/>
        <v>0</v>
      </c>
      <c r="N123" s="129">
        <f t="shared" si="16"/>
        <v>0</v>
      </c>
      <c r="O123" s="547">
        <f t="shared" si="6"/>
        <v>0</v>
      </c>
      <c r="P123" s="130">
        <f t="shared" si="17"/>
        <v>0</v>
      </c>
      <c r="Q123" s="131">
        <f t="shared" si="18"/>
        <v>0</v>
      </c>
      <c r="R123" s="578">
        <f t="shared" si="10"/>
        <v>1</v>
      </c>
    </row>
    <row r="124" spans="1:18" s="57" customFormat="1" ht="24.9" customHeight="1" x14ac:dyDescent="0.25">
      <c r="A124" s="470" t="str">
        <f>'Kalk UHR GS Deisenhofen'!A124</f>
        <v>Schule</v>
      </c>
      <c r="B124" s="302" t="str">
        <f>'Kalk UHR GS Deisenhofen'!B124</f>
        <v>EG</v>
      </c>
      <c r="C124" s="302" t="str">
        <f>'Kalk UHR GS Deisenhofen'!C124</f>
        <v>E.C.26</v>
      </c>
      <c r="D124" s="302" t="str">
        <f>'Kalk UHR GS Deisenhofen'!D124</f>
        <v>Pausenhalle</v>
      </c>
      <c r="E124" s="302" t="str">
        <f>'Kalk UHR GS Deisenhofen'!E124</f>
        <v>Naturstein</v>
      </c>
      <c r="F124" s="469" t="str">
        <f>'Kalk UHR GS Deisenhofen'!F124</f>
        <v>E1-W5</v>
      </c>
      <c r="G124" s="228" t="str">
        <f t="shared" si="19"/>
        <v>E1-J0,5</v>
      </c>
      <c r="H124" s="127">
        <f>'Kalk UHR GS Deisenhofen'!G124</f>
        <v>282.2</v>
      </c>
      <c r="I124" s="97" t="s">
        <v>909</v>
      </c>
      <c r="J124" s="328">
        <f>VLOOKUP(I124,Turnus!$D$9:$E$26,2,FALSE)</f>
        <v>0.5</v>
      </c>
      <c r="K124" s="127">
        <f t="shared" si="15"/>
        <v>141.1</v>
      </c>
      <c r="L124" s="128">
        <f>VLOOKUP($G124,'Leistungswerte GR Schulen'!$C$6:$F$53,4,FALSE)</f>
        <v>0</v>
      </c>
      <c r="M124" s="129">
        <f t="shared" si="9"/>
        <v>0</v>
      </c>
      <c r="N124" s="129">
        <f t="shared" si="16"/>
        <v>0</v>
      </c>
      <c r="O124" s="547">
        <f t="shared" si="6"/>
        <v>0</v>
      </c>
      <c r="P124" s="130">
        <f t="shared" si="17"/>
        <v>0</v>
      </c>
      <c r="Q124" s="131">
        <f t="shared" si="18"/>
        <v>0</v>
      </c>
      <c r="R124" s="578">
        <f t="shared" si="10"/>
        <v>1</v>
      </c>
    </row>
    <row r="125" spans="1:18" s="57" customFormat="1" ht="24.9" customHeight="1" x14ac:dyDescent="0.25">
      <c r="A125" s="470" t="str">
        <f>'Kalk UHR GS Deisenhofen'!A125</f>
        <v>Schule</v>
      </c>
      <c r="B125" s="302" t="str">
        <f>'Kalk UHR GS Deisenhofen'!B125</f>
        <v>EG</v>
      </c>
      <c r="C125" s="302" t="str">
        <f>'Kalk UHR GS Deisenhofen'!C125</f>
        <v>E.D.F.15</v>
      </c>
      <c r="D125" s="302" t="str">
        <f>'Kalk UHR GS Deisenhofen'!D125</f>
        <v>Flur</v>
      </c>
      <c r="E125" s="302" t="str">
        <f>'Kalk UHR GS Deisenhofen'!E125</f>
        <v>Naturstein</v>
      </c>
      <c r="F125" s="469" t="str">
        <f>'Kalk UHR GS Deisenhofen'!F125</f>
        <v>F1-W5</v>
      </c>
      <c r="G125" s="228" t="str">
        <f t="shared" si="19"/>
        <v>F1-J0,5</v>
      </c>
      <c r="H125" s="127">
        <f>'Kalk UHR GS Deisenhofen'!G125</f>
        <v>36.97</v>
      </c>
      <c r="I125" s="97" t="s">
        <v>909</v>
      </c>
      <c r="J125" s="328">
        <f>VLOOKUP(I125,Turnus!$D$9:$E$26,2,FALSE)</f>
        <v>0.5</v>
      </c>
      <c r="K125" s="127">
        <f t="shared" si="15"/>
        <v>18.484999999999999</v>
      </c>
      <c r="L125" s="128">
        <f>VLOOKUP($G125,'Leistungswerte GR Schulen'!$C$6:$F$53,4,FALSE)</f>
        <v>0</v>
      </c>
      <c r="M125" s="129">
        <f t="shared" si="9"/>
        <v>0</v>
      </c>
      <c r="N125" s="129">
        <f t="shared" si="16"/>
        <v>0</v>
      </c>
      <c r="O125" s="547">
        <f t="shared" si="6"/>
        <v>0</v>
      </c>
      <c r="P125" s="130">
        <f t="shared" si="17"/>
        <v>0</v>
      </c>
      <c r="Q125" s="131">
        <f t="shared" si="18"/>
        <v>0</v>
      </c>
      <c r="R125" s="578">
        <f t="shared" si="10"/>
        <v>1</v>
      </c>
    </row>
    <row r="126" spans="1:18" s="57" customFormat="1" ht="24.9" customHeight="1" x14ac:dyDescent="0.25">
      <c r="A126" s="470" t="str">
        <f>'Kalk UHR GS Deisenhofen'!A126</f>
        <v>Schule</v>
      </c>
      <c r="B126" s="302" t="str">
        <f>'Kalk UHR GS Deisenhofen'!B126</f>
        <v>EG</v>
      </c>
      <c r="C126" s="302" t="str">
        <f>'Kalk UHR GS Deisenhofen'!C126</f>
        <v>E.D.F.17</v>
      </c>
      <c r="D126" s="302" t="str">
        <f>'Kalk UHR GS Deisenhofen'!D126</f>
        <v>Flur</v>
      </c>
      <c r="E126" s="302" t="str">
        <f>'Kalk UHR GS Deisenhofen'!E126</f>
        <v>Linoleum</v>
      </c>
      <c r="F126" s="469" t="str">
        <f>'Kalk UHR GS Deisenhofen'!F126</f>
        <v>F1-W5</v>
      </c>
      <c r="G126" s="228" t="str">
        <f t="shared" si="19"/>
        <v>F1-J0,5</v>
      </c>
      <c r="H126" s="127">
        <f>'Kalk UHR GS Deisenhofen'!G126</f>
        <v>48.8</v>
      </c>
      <c r="I126" s="97" t="s">
        <v>909</v>
      </c>
      <c r="J126" s="328">
        <f>VLOOKUP(I126,Turnus!$D$9:$E$26,2,FALSE)</f>
        <v>0.5</v>
      </c>
      <c r="K126" s="127">
        <f t="shared" si="15"/>
        <v>24.4</v>
      </c>
      <c r="L126" s="128">
        <f>VLOOKUP($G126,'Leistungswerte GR Schulen'!$C$6:$F$53,4,FALSE)</f>
        <v>0</v>
      </c>
      <c r="M126" s="129">
        <f t="shared" si="9"/>
        <v>0</v>
      </c>
      <c r="N126" s="129">
        <f t="shared" si="16"/>
        <v>0</v>
      </c>
      <c r="O126" s="547">
        <f t="shared" si="6"/>
        <v>0</v>
      </c>
      <c r="P126" s="130">
        <f t="shared" si="17"/>
        <v>0</v>
      </c>
      <c r="Q126" s="131">
        <f t="shared" si="18"/>
        <v>0</v>
      </c>
      <c r="R126" s="578">
        <f t="shared" si="10"/>
        <v>1</v>
      </c>
    </row>
    <row r="127" spans="1:18" s="57" customFormat="1" ht="24.9" customHeight="1" x14ac:dyDescent="0.25">
      <c r="A127" s="470" t="str">
        <f>'Kalk UHR GS Deisenhofen'!A127</f>
        <v>Schule</v>
      </c>
      <c r="B127" s="302" t="str">
        <f>'Kalk UHR GS Deisenhofen'!B127</f>
        <v>EG</v>
      </c>
      <c r="C127" s="302" t="str">
        <f>'Kalk UHR GS Deisenhofen'!C127</f>
        <v>E.D.Z.02</v>
      </c>
      <c r="D127" s="302" t="str">
        <f>'Kalk UHR GS Deisenhofen'!D127</f>
        <v>Aufzug</v>
      </c>
      <c r="E127" s="302" t="str">
        <f>'Kalk UHR GS Deisenhofen'!E127</f>
        <v>Naturstein</v>
      </c>
      <c r="F127" s="469" t="str">
        <f>'Kalk UHR GS Deisenhofen'!F127</f>
        <v>F2-W3</v>
      </c>
      <c r="G127" s="228" t="str">
        <f t="shared" si="19"/>
        <v>F2-J0,5</v>
      </c>
      <c r="H127" s="127">
        <f>'Kalk UHR GS Deisenhofen'!G127</f>
        <v>3.33</v>
      </c>
      <c r="I127" s="97" t="s">
        <v>909</v>
      </c>
      <c r="J127" s="328">
        <f>VLOOKUP(I127,Turnus!$D$9:$E$26,2,FALSE)</f>
        <v>0.5</v>
      </c>
      <c r="K127" s="127">
        <f t="shared" si="0"/>
        <v>1.665</v>
      </c>
      <c r="L127" s="128">
        <f>VLOOKUP($G127,'Leistungswerte GR Schulen'!$C$6:$F$53,4,FALSE)</f>
        <v>0</v>
      </c>
      <c r="M127" s="129">
        <f t="shared" si="9"/>
        <v>0</v>
      </c>
      <c r="N127" s="129">
        <f t="shared" si="1"/>
        <v>0</v>
      </c>
      <c r="O127" s="547">
        <f t="shared" si="6"/>
        <v>0</v>
      </c>
      <c r="P127" s="130">
        <f t="shared" si="2"/>
        <v>0</v>
      </c>
      <c r="Q127" s="131">
        <f t="shared" si="3"/>
        <v>0</v>
      </c>
      <c r="R127" s="578">
        <f t="shared" si="10"/>
        <v>1</v>
      </c>
    </row>
    <row r="128" spans="1:18" s="57" customFormat="1" ht="24.9" customHeight="1" x14ac:dyDescent="0.25">
      <c r="A128" s="470" t="str">
        <f>'Kalk UHR GS Deisenhofen'!A128</f>
        <v>Schule</v>
      </c>
      <c r="B128" s="302" t="str">
        <f>'Kalk UHR GS Deisenhofen'!B128</f>
        <v>EG</v>
      </c>
      <c r="C128" s="302" t="str">
        <f>'Kalk UHR GS Deisenhofen'!C128</f>
        <v>E.C.F.05</v>
      </c>
      <c r="D128" s="302" t="str">
        <f>'Kalk UHR GS Deisenhofen'!D128</f>
        <v>Flur</v>
      </c>
      <c r="E128" s="302" t="str">
        <f>'Kalk UHR GS Deisenhofen'!E128</f>
        <v>Naturstein</v>
      </c>
      <c r="F128" s="469" t="str">
        <f>'Kalk UHR GS Deisenhofen'!F128</f>
        <v>F1-W5</v>
      </c>
      <c r="G128" s="228" t="str">
        <f t="shared" si="19"/>
        <v>F1-J0,5</v>
      </c>
      <c r="H128" s="127">
        <f>'Kalk UHR GS Deisenhofen'!G128</f>
        <v>121.4</v>
      </c>
      <c r="I128" s="97" t="s">
        <v>909</v>
      </c>
      <c r="J128" s="328">
        <f>VLOOKUP(I128,Turnus!$D$9:$E$26,2,FALSE)</f>
        <v>0.5</v>
      </c>
      <c r="K128" s="127">
        <f t="shared" ref="K128:K244" si="20">+H128*J128</f>
        <v>60.7</v>
      </c>
      <c r="L128" s="128">
        <f>VLOOKUP($G128,'Leistungswerte GR Schulen'!$C$6:$F$53,4,FALSE)</f>
        <v>0</v>
      </c>
      <c r="M128" s="129">
        <f t="shared" si="9"/>
        <v>0</v>
      </c>
      <c r="N128" s="129">
        <f t="shared" ref="N128:N244" si="21">IF(ISERROR(K128/L128),0,K128/L128)</f>
        <v>0</v>
      </c>
      <c r="O128" s="547">
        <f t="shared" si="6"/>
        <v>0</v>
      </c>
      <c r="P128" s="130">
        <f t="shared" ref="P128:P244" si="22">IF(ISERROR(H128/L128*O128),0,H128/L128*O128)</f>
        <v>0</v>
      </c>
      <c r="Q128" s="131">
        <f t="shared" ref="Q128:Q244" si="23">+N128*O128</f>
        <v>0</v>
      </c>
      <c r="R128" s="578">
        <f t="shared" si="10"/>
        <v>1</v>
      </c>
    </row>
    <row r="129" spans="1:18" s="57" customFormat="1" ht="24.9" customHeight="1" x14ac:dyDescent="0.25">
      <c r="A129" s="470" t="str">
        <f>'Kalk UHR GS Deisenhofen'!A129</f>
        <v>Schule</v>
      </c>
      <c r="B129" s="302" t="str">
        <f>'Kalk UHR GS Deisenhofen'!B129</f>
        <v>EG</v>
      </c>
      <c r="C129" s="302" t="str">
        <f>'Kalk UHR GS Deisenhofen'!C129</f>
        <v>E.C.T.04</v>
      </c>
      <c r="D129" s="302" t="str">
        <f>'Kalk UHR GS Deisenhofen'!D129</f>
        <v>Treppe</v>
      </c>
      <c r="E129" s="302" t="str">
        <f>'Kalk UHR GS Deisenhofen'!E129</f>
        <v>Naturstein</v>
      </c>
      <c r="F129" s="469" t="str">
        <f>'Kalk UHR GS Deisenhofen'!F129</f>
        <v>F3-W5</v>
      </c>
      <c r="G129" s="228" t="str">
        <f t="shared" si="19"/>
        <v>F3-J0,5</v>
      </c>
      <c r="H129" s="127">
        <f>'Kalk UHR GS Deisenhofen'!G129</f>
        <v>18.190000000000001</v>
      </c>
      <c r="I129" s="97" t="s">
        <v>909</v>
      </c>
      <c r="J129" s="328">
        <f>VLOOKUP(I129,Turnus!$D$9:$E$26,2,FALSE)</f>
        <v>0.5</v>
      </c>
      <c r="K129" s="127">
        <f t="shared" si="20"/>
        <v>9.0950000000000006</v>
      </c>
      <c r="L129" s="128">
        <f>VLOOKUP($G129,'Leistungswerte GR Schulen'!$C$6:$F$53,4,FALSE)</f>
        <v>0</v>
      </c>
      <c r="M129" s="129">
        <f t="shared" si="9"/>
        <v>0</v>
      </c>
      <c r="N129" s="129">
        <f t="shared" si="21"/>
        <v>0</v>
      </c>
      <c r="O129" s="547">
        <f t="shared" si="6"/>
        <v>0</v>
      </c>
      <c r="P129" s="130">
        <f t="shared" si="22"/>
        <v>0</v>
      </c>
      <c r="Q129" s="131">
        <f t="shared" si="23"/>
        <v>0</v>
      </c>
      <c r="R129" s="578">
        <f t="shared" si="10"/>
        <v>1</v>
      </c>
    </row>
    <row r="130" spans="1:18" s="57" customFormat="1" ht="24.9" customHeight="1" x14ac:dyDescent="0.25">
      <c r="A130" s="470" t="str">
        <f>'Kalk UHR GS Deisenhofen'!A130</f>
        <v>Schule</v>
      </c>
      <c r="B130" s="302" t="str">
        <f>'Kalk UHR GS Deisenhofen'!B130</f>
        <v>EG</v>
      </c>
      <c r="C130" s="302" t="str">
        <f>'Kalk UHR GS Deisenhofen'!C130</f>
        <v>E.C.F.07</v>
      </c>
      <c r="D130" s="302" t="str">
        <f>'Kalk UHR GS Deisenhofen'!D130</f>
        <v>Eingang</v>
      </c>
      <c r="E130" s="419" t="str">
        <f>'Kalk UHR GS Deisenhofen'!E130</f>
        <v>Naturstein/ Sauberlaufzone</v>
      </c>
      <c r="F130" s="469" t="str">
        <f>'Kalk UHR GS Deisenhofen'!F130</f>
        <v>E2-W5</v>
      </c>
      <c r="G130" s="228" t="str">
        <f t="shared" si="19"/>
        <v>E2-J0,5</v>
      </c>
      <c r="H130" s="127">
        <f>'Kalk UHR GS Deisenhofen'!G130</f>
        <v>42.07</v>
      </c>
      <c r="I130" s="97" t="s">
        <v>909</v>
      </c>
      <c r="J130" s="328">
        <f>VLOOKUP(I130,Turnus!$D$9:$E$26,2,FALSE)</f>
        <v>0.5</v>
      </c>
      <c r="K130" s="127">
        <f t="shared" si="20"/>
        <v>21.035</v>
      </c>
      <c r="L130" s="128">
        <f>VLOOKUP($G130,'Leistungswerte GR Schulen'!$C$6:$F$53,4,FALSE)</f>
        <v>0</v>
      </c>
      <c r="M130" s="129">
        <f t="shared" si="9"/>
        <v>0</v>
      </c>
      <c r="N130" s="129">
        <f t="shared" si="21"/>
        <v>0</v>
      </c>
      <c r="O130" s="547">
        <f t="shared" si="6"/>
        <v>0</v>
      </c>
      <c r="P130" s="130">
        <f t="shared" si="22"/>
        <v>0</v>
      </c>
      <c r="Q130" s="131">
        <f t="shared" si="23"/>
        <v>0</v>
      </c>
      <c r="R130" s="578">
        <f t="shared" si="10"/>
        <v>1</v>
      </c>
    </row>
    <row r="131" spans="1:18" s="57" customFormat="1" ht="24.9" customHeight="1" x14ac:dyDescent="0.25">
      <c r="A131" s="470" t="str">
        <f>'Kalk UHR GS Deisenhofen'!A131</f>
        <v>Schule</v>
      </c>
      <c r="B131" s="302" t="str">
        <f>'Kalk UHR GS Deisenhofen'!B131</f>
        <v>EG</v>
      </c>
      <c r="C131" s="302" t="str">
        <f>'Kalk UHR GS Deisenhofen'!C131</f>
        <v>E.C.27</v>
      </c>
      <c r="D131" s="302" t="str">
        <f>'Kalk UHR GS Deisenhofen'!D131</f>
        <v>Sekretariat</v>
      </c>
      <c r="E131" s="302" t="str">
        <f>'Kalk UHR GS Deisenhofen'!E131</f>
        <v>Linoleum</v>
      </c>
      <c r="F131" s="469" t="str">
        <f>'Kalk UHR GS Deisenhofen'!F131</f>
        <v>B1-W3</v>
      </c>
      <c r="G131" s="228" t="str">
        <f t="shared" si="19"/>
        <v>B1-J0,5</v>
      </c>
      <c r="H131" s="127">
        <f>'Kalk UHR GS Deisenhofen'!G131</f>
        <v>26.88</v>
      </c>
      <c r="I131" s="97" t="s">
        <v>909</v>
      </c>
      <c r="J131" s="328">
        <f>VLOOKUP(I131,Turnus!$D$9:$E$26,2,FALSE)</f>
        <v>0.5</v>
      </c>
      <c r="K131" s="127">
        <f t="shared" si="20"/>
        <v>13.44</v>
      </c>
      <c r="L131" s="128">
        <f>VLOOKUP($G131,'Leistungswerte GR Schulen'!$C$6:$F$53,4,FALSE)</f>
        <v>0</v>
      </c>
      <c r="M131" s="129">
        <f t="shared" si="9"/>
        <v>0</v>
      </c>
      <c r="N131" s="129">
        <f t="shared" si="21"/>
        <v>0</v>
      </c>
      <c r="O131" s="547">
        <f t="shared" si="6"/>
        <v>0</v>
      </c>
      <c r="P131" s="130">
        <f t="shared" si="22"/>
        <v>0</v>
      </c>
      <c r="Q131" s="131">
        <f t="shared" si="23"/>
        <v>0</v>
      </c>
      <c r="R131" s="578">
        <f t="shared" si="10"/>
        <v>1</v>
      </c>
    </row>
    <row r="132" spans="1:18" s="57" customFormat="1" ht="24.9" customHeight="1" x14ac:dyDescent="0.25">
      <c r="A132" s="470" t="str">
        <f>'Kalk UHR GS Deisenhofen'!A132</f>
        <v>Schule</v>
      </c>
      <c r="B132" s="302" t="str">
        <f>'Kalk UHR GS Deisenhofen'!B132</f>
        <v>EG</v>
      </c>
      <c r="C132" s="302" t="str">
        <f>'Kalk UHR GS Deisenhofen'!C132</f>
        <v>E.C.27a</v>
      </c>
      <c r="D132" s="302" t="str">
        <f>'Kalk UHR GS Deisenhofen'!D132</f>
        <v>1. Hilfe in Sekretariat inkl.</v>
      </c>
      <c r="E132" s="302" t="str">
        <f>'Kalk UHR GS Deisenhofen'!E132</f>
        <v>Linoleum</v>
      </c>
      <c r="F132" s="469" t="str">
        <f>'Kalk UHR GS Deisenhofen'!F132</f>
        <v>B1-W3</v>
      </c>
      <c r="G132" s="228" t="str">
        <f t="shared" si="19"/>
        <v>B1-J0,5</v>
      </c>
      <c r="H132" s="127">
        <f>'Kalk UHR GS Deisenhofen'!G132</f>
        <v>5.62</v>
      </c>
      <c r="I132" s="97" t="s">
        <v>909</v>
      </c>
      <c r="J132" s="328">
        <f>VLOOKUP(I132,Turnus!$D$9:$E$26,2,FALSE)</f>
        <v>0.5</v>
      </c>
      <c r="K132" s="127">
        <f t="shared" si="20"/>
        <v>2.81</v>
      </c>
      <c r="L132" s="128">
        <f>VLOOKUP($G132,'Leistungswerte GR Schulen'!$C$6:$F$53,4,FALSE)</f>
        <v>0</v>
      </c>
      <c r="M132" s="129">
        <f t="shared" si="9"/>
        <v>0</v>
      </c>
      <c r="N132" s="129">
        <f t="shared" si="21"/>
        <v>0</v>
      </c>
      <c r="O132" s="547">
        <f t="shared" si="6"/>
        <v>0</v>
      </c>
      <c r="P132" s="130">
        <f t="shared" si="22"/>
        <v>0</v>
      </c>
      <c r="Q132" s="131">
        <f t="shared" si="23"/>
        <v>0</v>
      </c>
      <c r="R132" s="578">
        <f t="shared" si="10"/>
        <v>1</v>
      </c>
    </row>
    <row r="133" spans="1:18" s="57" customFormat="1" ht="24.9" customHeight="1" x14ac:dyDescent="0.25">
      <c r="A133" s="470" t="str">
        <f>'Kalk UHR GS Deisenhofen'!A133</f>
        <v>Schule</v>
      </c>
      <c r="B133" s="302" t="str">
        <f>'Kalk UHR GS Deisenhofen'!B133</f>
        <v>EG</v>
      </c>
      <c r="C133" s="302" t="str">
        <f>'Kalk UHR GS Deisenhofen'!C133</f>
        <v>E.C.28</v>
      </c>
      <c r="D133" s="302" t="str">
        <f>'Kalk UHR GS Deisenhofen'!D133</f>
        <v>Rektorat</v>
      </c>
      <c r="E133" s="302" t="str">
        <f>'Kalk UHR GS Deisenhofen'!E133</f>
        <v>Linoleum</v>
      </c>
      <c r="F133" s="469" t="str">
        <f>'Kalk UHR GS Deisenhofen'!F133</f>
        <v>B1-W3</v>
      </c>
      <c r="G133" s="228" t="str">
        <f t="shared" si="19"/>
        <v>B1-J0,5</v>
      </c>
      <c r="H133" s="127">
        <f>'Kalk UHR GS Deisenhofen'!G133</f>
        <v>25.5</v>
      </c>
      <c r="I133" s="97" t="s">
        <v>909</v>
      </c>
      <c r="J133" s="328">
        <f>VLOOKUP(I133,Turnus!$D$9:$E$26,2,FALSE)</f>
        <v>0.5</v>
      </c>
      <c r="K133" s="127">
        <f t="shared" ref="K133:K241" si="24">+H133*J133</f>
        <v>12.75</v>
      </c>
      <c r="L133" s="128">
        <f>VLOOKUP($G133,'Leistungswerte GR Schulen'!$C$6:$F$53,4,FALSE)</f>
        <v>0</v>
      </c>
      <c r="M133" s="129">
        <f t="shared" si="9"/>
        <v>0</v>
      </c>
      <c r="N133" s="129">
        <f t="shared" ref="N133:N241" si="25">IF(ISERROR(K133/L133),0,K133/L133)</f>
        <v>0</v>
      </c>
      <c r="O133" s="547">
        <f t="shared" si="6"/>
        <v>0</v>
      </c>
      <c r="P133" s="130">
        <f t="shared" ref="P133:P241" si="26">IF(ISERROR(H133/L133*O133),0,H133/L133*O133)</f>
        <v>0</v>
      </c>
      <c r="Q133" s="131">
        <f t="shared" ref="Q133:Q241" si="27">+N133*O133</f>
        <v>0</v>
      </c>
      <c r="R133" s="578">
        <f t="shared" si="10"/>
        <v>1</v>
      </c>
    </row>
    <row r="134" spans="1:18" s="57" customFormat="1" ht="24.9" customHeight="1" x14ac:dyDescent="0.25">
      <c r="A134" s="470" t="str">
        <f>'Kalk UHR GS Deisenhofen'!A134</f>
        <v>Schule</v>
      </c>
      <c r="B134" s="302" t="str">
        <f>'Kalk UHR GS Deisenhofen'!B134</f>
        <v>EG</v>
      </c>
      <c r="C134" s="302" t="str">
        <f>'Kalk UHR GS Deisenhofen'!C134</f>
        <v>E.C.29</v>
      </c>
      <c r="D134" s="302" t="str">
        <f>'Kalk UHR GS Deisenhofen'!D134</f>
        <v>Konrektorat</v>
      </c>
      <c r="E134" s="302" t="str">
        <f>'Kalk UHR GS Deisenhofen'!E134</f>
        <v>Linoleum</v>
      </c>
      <c r="F134" s="469" t="str">
        <f>'Kalk UHR GS Deisenhofen'!F134</f>
        <v>B1-W3</v>
      </c>
      <c r="G134" s="228" t="str">
        <f t="shared" si="19"/>
        <v>B1-J0,5</v>
      </c>
      <c r="H134" s="127">
        <f>'Kalk UHR GS Deisenhofen'!G134</f>
        <v>22.29</v>
      </c>
      <c r="I134" s="97" t="s">
        <v>909</v>
      </c>
      <c r="J134" s="328">
        <f>VLOOKUP(I134,Turnus!$D$9:$E$26,2,FALSE)</f>
        <v>0.5</v>
      </c>
      <c r="K134" s="127">
        <f t="shared" si="24"/>
        <v>11.145</v>
      </c>
      <c r="L134" s="128">
        <f>VLOOKUP($G134,'Leistungswerte GR Schulen'!$C$6:$F$53,4,FALSE)</f>
        <v>0</v>
      </c>
      <c r="M134" s="129">
        <f t="shared" si="9"/>
        <v>0</v>
      </c>
      <c r="N134" s="129">
        <f t="shared" si="25"/>
        <v>0</v>
      </c>
      <c r="O134" s="547">
        <f t="shared" si="6"/>
        <v>0</v>
      </c>
      <c r="P134" s="130">
        <f t="shared" si="26"/>
        <v>0</v>
      </c>
      <c r="Q134" s="131">
        <f t="shared" si="27"/>
        <v>0</v>
      </c>
      <c r="R134" s="578">
        <f t="shared" si="10"/>
        <v>1</v>
      </c>
    </row>
    <row r="135" spans="1:18" s="57" customFormat="1" ht="24.9" customHeight="1" x14ac:dyDescent="0.25">
      <c r="A135" s="470" t="str">
        <f>'Kalk UHR GS Deisenhofen'!A135</f>
        <v>Schule</v>
      </c>
      <c r="B135" s="302" t="str">
        <f>'Kalk UHR GS Deisenhofen'!B135</f>
        <v>EG</v>
      </c>
      <c r="C135" s="302" t="str">
        <f>'Kalk UHR GS Deisenhofen'!C135</f>
        <v>E.C.30</v>
      </c>
      <c r="D135" s="302" t="str">
        <f>'Kalk UHR GS Deisenhofen'!D135</f>
        <v>Kopierer</v>
      </c>
      <c r="E135" s="302" t="str">
        <f>'Kalk UHR GS Deisenhofen'!E135</f>
        <v>Linoleum</v>
      </c>
      <c r="F135" s="469" t="str">
        <f>'Kalk UHR GS Deisenhofen'!F135</f>
        <v>B1-W3</v>
      </c>
      <c r="G135" s="228" t="str">
        <f t="shared" si="19"/>
        <v>B1-J0,5</v>
      </c>
      <c r="H135" s="127">
        <f>'Kalk UHR GS Deisenhofen'!G135</f>
        <v>13.6</v>
      </c>
      <c r="I135" s="97" t="s">
        <v>909</v>
      </c>
      <c r="J135" s="328">
        <f>VLOOKUP(I135,Turnus!$D$9:$E$26,2,FALSE)</f>
        <v>0.5</v>
      </c>
      <c r="K135" s="127">
        <f t="shared" si="24"/>
        <v>6.8</v>
      </c>
      <c r="L135" s="128">
        <f>VLOOKUP($G135,'Leistungswerte GR Schulen'!$C$6:$F$53,4,FALSE)</f>
        <v>0</v>
      </c>
      <c r="M135" s="129">
        <f t="shared" si="9"/>
        <v>0</v>
      </c>
      <c r="N135" s="129">
        <f t="shared" si="25"/>
        <v>0</v>
      </c>
      <c r="O135" s="547">
        <f t="shared" si="6"/>
        <v>0</v>
      </c>
      <c r="P135" s="130">
        <f t="shared" si="26"/>
        <v>0</v>
      </c>
      <c r="Q135" s="131">
        <f t="shared" si="27"/>
        <v>0</v>
      </c>
      <c r="R135" s="578">
        <f t="shared" si="10"/>
        <v>1</v>
      </c>
    </row>
    <row r="136" spans="1:18" s="57" customFormat="1" ht="24.9" customHeight="1" x14ac:dyDescent="0.25">
      <c r="A136" s="470" t="str">
        <f>'Kalk UHR GS Deisenhofen'!A136</f>
        <v>Schule</v>
      </c>
      <c r="B136" s="302" t="str">
        <f>'Kalk UHR GS Deisenhofen'!B136</f>
        <v>EG</v>
      </c>
      <c r="C136" s="302" t="str">
        <f>'Kalk UHR GS Deisenhofen'!C136</f>
        <v>E.C.31</v>
      </c>
      <c r="D136" s="302" t="str">
        <f>'Kalk UHR GS Deisenhofen'!D136</f>
        <v>Arbeitszimmer Lehrer</v>
      </c>
      <c r="E136" s="302" t="str">
        <f>'Kalk UHR GS Deisenhofen'!E136</f>
        <v>Linoleum</v>
      </c>
      <c r="F136" s="469" t="str">
        <f>'Kalk UHR GS Deisenhofen'!F136</f>
        <v>B1-W3</v>
      </c>
      <c r="G136" s="228" t="str">
        <f t="shared" si="19"/>
        <v>B1-J0,5</v>
      </c>
      <c r="H136" s="127">
        <f>'Kalk UHR GS Deisenhofen'!G136</f>
        <v>20.399999999999999</v>
      </c>
      <c r="I136" s="97" t="s">
        <v>909</v>
      </c>
      <c r="J136" s="328">
        <f>VLOOKUP(I136,Turnus!$D$9:$E$26,2,FALSE)</f>
        <v>0.5</v>
      </c>
      <c r="K136" s="127">
        <f t="shared" si="24"/>
        <v>10.199999999999999</v>
      </c>
      <c r="L136" s="128">
        <f>VLOOKUP($G136,'Leistungswerte GR Schulen'!$C$6:$F$53,4,FALSE)</f>
        <v>0</v>
      </c>
      <c r="M136" s="129">
        <f t="shared" si="9"/>
        <v>0</v>
      </c>
      <c r="N136" s="129">
        <f t="shared" si="25"/>
        <v>0</v>
      </c>
      <c r="O136" s="547">
        <f t="shared" si="6"/>
        <v>0</v>
      </c>
      <c r="P136" s="130">
        <f t="shared" si="26"/>
        <v>0</v>
      </c>
      <c r="Q136" s="131">
        <f t="shared" si="27"/>
        <v>0</v>
      </c>
      <c r="R136" s="578">
        <f t="shared" si="10"/>
        <v>1</v>
      </c>
    </row>
    <row r="137" spans="1:18" s="57" customFormat="1" ht="24.9" customHeight="1" x14ac:dyDescent="0.25">
      <c r="A137" s="470" t="str">
        <f>'Kalk UHR GS Deisenhofen'!A137</f>
        <v>Schule</v>
      </c>
      <c r="B137" s="302" t="str">
        <f>'Kalk UHR GS Deisenhofen'!B137</f>
        <v>EG</v>
      </c>
      <c r="C137" s="302" t="str">
        <f>'Kalk UHR GS Deisenhofen'!C137</f>
        <v>E.C.32</v>
      </c>
      <c r="D137" s="302" t="str">
        <f>'Kalk UHR GS Deisenhofen'!D137</f>
        <v>Sozialpäd</v>
      </c>
      <c r="E137" s="302" t="str">
        <f>'Kalk UHR GS Deisenhofen'!E137</f>
        <v>Linoleum</v>
      </c>
      <c r="F137" s="469" t="str">
        <f>'Kalk UHR GS Deisenhofen'!F137</f>
        <v>B1-W3</v>
      </c>
      <c r="G137" s="228" t="str">
        <f t="shared" si="19"/>
        <v>B1-J0,5</v>
      </c>
      <c r="H137" s="127">
        <f>'Kalk UHR GS Deisenhofen'!G137</f>
        <v>22.78</v>
      </c>
      <c r="I137" s="97" t="s">
        <v>909</v>
      </c>
      <c r="J137" s="328">
        <f>VLOOKUP(I137,Turnus!$D$9:$E$26,2,FALSE)</f>
        <v>0.5</v>
      </c>
      <c r="K137" s="127">
        <f t="shared" si="24"/>
        <v>11.39</v>
      </c>
      <c r="L137" s="128">
        <f>VLOOKUP($G137,'Leistungswerte GR Schulen'!$C$6:$F$53,4,FALSE)</f>
        <v>0</v>
      </c>
      <c r="M137" s="129">
        <f t="shared" ref="M137:M200" si="28">IF(ISERROR(H137/L137),0,H137/L137)</f>
        <v>0</v>
      </c>
      <c r="N137" s="129">
        <f t="shared" si="25"/>
        <v>0</v>
      </c>
      <c r="O137" s="547">
        <f t="shared" si="6"/>
        <v>0</v>
      </c>
      <c r="P137" s="130">
        <f t="shared" si="26"/>
        <v>0</v>
      </c>
      <c r="Q137" s="131">
        <f t="shared" si="27"/>
        <v>0</v>
      </c>
      <c r="R137" s="578">
        <f t="shared" ref="R137:R200" si="29">IF(A137="Schule",1,IF(A137="Sporthalle",1,2))</f>
        <v>1</v>
      </c>
    </row>
    <row r="138" spans="1:18" s="57" customFormat="1" ht="24.9" customHeight="1" x14ac:dyDescent="0.25">
      <c r="A138" s="470" t="str">
        <f>'Kalk UHR GS Deisenhofen'!A138</f>
        <v>Schule</v>
      </c>
      <c r="B138" s="302" t="str">
        <f>'Kalk UHR GS Deisenhofen'!B138</f>
        <v>EG</v>
      </c>
      <c r="C138" s="302" t="str">
        <f>'Kalk UHR GS Deisenhofen'!C138</f>
        <v>E.C.33</v>
      </c>
      <c r="D138" s="302" t="str">
        <f>'Kalk UHR GS Deisenhofen'!D138</f>
        <v>Elternsprechzimmer</v>
      </c>
      <c r="E138" s="302" t="str">
        <f>'Kalk UHR GS Deisenhofen'!E138</f>
        <v>Linoleum</v>
      </c>
      <c r="F138" s="469" t="str">
        <f>'Kalk UHR GS Deisenhofen'!F138</f>
        <v>B1-W3</v>
      </c>
      <c r="G138" s="228" t="str">
        <f t="shared" si="19"/>
        <v>B1-J0,5</v>
      </c>
      <c r="H138" s="127">
        <f>'Kalk UHR GS Deisenhofen'!G138</f>
        <v>16.96</v>
      </c>
      <c r="I138" s="97" t="s">
        <v>909</v>
      </c>
      <c r="J138" s="328">
        <f>VLOOKUP(I138,Turnus!$D$9:$E$26,2,FALSE)</f>
        <v>0.5</v>
      </c>
      <c r="K138" s="127">
        <f t="shared" si="24"/>
        <v>8.48</v>
      </c>
      <c r="L138" s="128">
        <f>VLOOKUP($G138,'Leistungswerte GR Schulen'!$C$6:$F$53,4,FALSE)</f>
        <v>0</v>
      </c>
      <c r="M138" s="129">
        <f t="shared" si="28"/>
        <v>0</v>
      </c>
      <c r="N138" s="129">
        <f t="shared" si="25"/>
        <v>0</v>
      </c>
      <c r="O138" s="547">
        <f t="shared" si="6"/>
        <v>0</v>
      </c>
      <c r="P138" s="130">
        <f t="shared" si="26"/>
        <v>0</v>
      </c>
      <c r="Q138" s="131">
        <f t="shared" si="27"/>
        <v>0</v>
      </c>
      <c r="R138" s="578">
        <f t="shared" si="29"/>
        <v>1</v>
      </c>
    </row>
    <row r="139" spans="1:18" s="57" customFormat="1" ht="24.9" customHeight="1" x14ac:dyDescent="0.25">
      <c r="A139" s="470" t="str">
        <f>'Kalk UHR GS Deisenhofen'!A139</f>
        <v>Schule</v>
      </c>
      <c r="B139" s="302" t="str">
        <f>'Kalk UHR GS Deisenhofen'!B139</f>
        <v>EG</v>
      </c>
      <c r="C139" s="302" t="str">
        <f>'Kalk UHR GS Deisenhofen'!C139</f>
        <v>E.C.34</v>
      </c>
      <c r="D139" s="302" t="str">
        <f>'Kalk UHR GS Deisenhofen'!D139</f>
        <v>WC-Lehrer</v>
      </c>
      <c r="E139" s="302" t="str">
        <f>'Kalk UHR GS Deisenhofen'!E139</f>
        <v>Fliesen</v>
      </c>
      <c r="F139" s="469" t="str">
        <f>'Kalk UHR GS Deisenhofen'!F139</f>
        <v>S1-W5</v>
      </c>
      <c r="G139" s="228" t="str">
        <f t="shared" si="19"/>
        <v>S1-J1</v>
      </c>
      <c r="H139" s="127">
        <f>'Kalk UHR GS Deisenhofen'!G139</f>
        <v>3.3</v>
      </c>
      <c r="I139" s="97" t="s">
        <v>54</v>
      </c>
      <c r="J139" s="328">
        <f>VLOOKUP(I139,Turnus!$D$9:$E$26,2,FALSE)</f>
        <v>1</v>
      </c>
      <c r="K139" s="127">
        <f t="shared" ref="K139:K166" si="30">+H139*J139</f>
        <v>3.3</v>
      </c>
      <c r="L139" s="128">
        <f>VLOOKUP($G139,'Leistungswerte GR Schulen'!$C$6:$F$53,4,FALSE)</f>
        <v>0</v>
      </c>
      <c r="M139" s="129">
        <f t="shared" si="28"/>
        <v>0</v>
      </c>
      <c r="N139" s="129">
        <f t="shared" ref="N139:N166" si="31">IF(ISERROR(K139/L139),0,K139/L139)</f>
        <v>0</v>
      </c>
      <c r="O139" s="547">
        <f t="shared" si="6"/>
        <v>0</v>
      </c>
      <c r="P139" s="130">
        <f t="shared" ref="P139:P166" si="32">IF(ISERROR(H139/L139*O139),0,H139/L139*O139)</f>
        <v>0</v>
      </c>
      <c r="Q139" s="131">
        <f t="shared" ref="Q139:Q166" si="33">+N139*O139</f>
        <v>0</v>
      </c>
      <c r="R139" s="578">
        <f t="shared" si="29"/>
        <v>1</v>
      </c>
    </row>
    <row r="140" spans="1:18" s="57" customFormat="1" ht="24.9" customHeight="1" x14ac:dyDescent="0.25">
      <c r="A140" s="470" t="str">
        <f>'Kalk UHR GS Deisenhofen'!A140</f>
        <v>Schule</v>
      </c>
      <c r="B140" s="302" t="str">
        <f>'Kalk UHR GS Deisenhofen'!B140</f>
        <v>EG</v>
      </c>
      <c r="C140" s="302" t="str">
        <f>'Kalk UHR GS Deisenhofen'!C140</f>
        <v>E.C.35</v>
      </c>
      <c r="D140" s="302" t="str">
        <f>'Kalk UHR GS Deisenhofen'!D140</f>
        <v>WC-Lehrer</v>
      </c>
      <c r="E140" s="302" t="str">
        <f>'Kalk UHR GS Deisenhofen'!E140</f>
        <v>Fliesen</v>
      </c>
      <c r="F140" s="469" t="str">
        <f>'Kalk UHR GS Deisenhofen'!F140</f>
        <v>S1-W5</v>
      </c>
      <c r="G140" s="228" t="str">
        <f t="shared" si="19"/>
        <v>S1-J1</v>
      </c>
      <c r="H140" s="127">
        <f>'Kalk UHR GS Deisenhofen'!G140</f>
        <v>3.3</v>
      </c>
      <c r="I140" s="97" t="s">
        <v>54</v>
      </c>
      <c r="J140" s="328">
        <f>VLOOKUP(I140,Turnus!$D$9:$E$26,2,FALSE)</f>
        <v>1</v>
      </c>
      <c r="K140" s="127">
        <f t="shared" si="30"/>
        <v>3.3</v>
      </c>
      <c r="L140" s="128">
        <f>VLOOKUP($G140,'Leistungswerte GR Schulen'!$C$6:$F$53,4,FALSE)</f>
        <v>0</v>
      </c>
      <c r="M140" s="129">
        <f t="shared" si="28"/>
        <v>0</v>
      </c>
      <c r="N140" s="129">
        <f t="shared" si="31"/>
        <v>0</v>
      </c>
      <c r="O140" s="547">
        <f t="shared" si="6"/>
        <v>0</v>
      </c>
      <c r="P140" s="130">
        <f t="shared" si="32"/>
        <v>0</v>
      </c>
      <c r="Q140" s="131">
        <f t="shared" si="33"/>
        <v>0</v>
      </c>
      <c r="R140" s="578">
        <f t="shared" si="29"/>
        <v>1</v>
      </c>
    </row>
    <row r="141" spans="1:18" s="57" customFormat="1" ht="24.9" customHeight="1" x14ac:dyDescent="0.25">
      <c r="A141" s="470" t="str">
        <f>'Kalk UHR GS Deisenhofen'!A141</f>
        <v>Schule</v>
      </c>
      <c r="B141" s="302" t="str">
        <f>'Kalk UHR GS Deisenhofen'!B141</f>
        <v>EG</v>
      </c>
      <c r="C141" s="302" t="str">
        <f>'Kalk UHR GS Deisenhofen'!C141</f>
        <v>E.C.36</v>
      </c>
      <c r="D141" s="302" t="str">
        <f>'Kalk UHR GS Deisenhofen'!D141</f>
        <v>Personal</v>
      </c>
      <c r="E141" s="302" t="str">
        <f>'Kalk UHR GS Deisenhofen'!E141</f>
        <v>Linoleum</v>
      </c>
      <c r="F141" s="469" t="str">
        <f>'Kalk UHR GS Deisenhofen'!F141</f>
        <v>A1-W3</v>
      </c>
      <c r="G141" s="228" t="str">
        <f t="shared" si="19"/>
        <v>A1-J0,5</v>
      </c>
      <c r="H141" s="127">
        <f>'Kalk UHR GS Deisenhofen'!G141</f>
        <v>13.97</v>
      </c>
      <c r="I141" s="97" t="s">
        <v>909</v>
      </c>
      <c r="J141" s="328">
        <f>VLOOKUP(I141,Turnus!$D$9:$E$26,2,FALSE)</f>
        <v>0.5</v>
      </c>
      <c r="K141" s="127">
        <f t="shared" si="30"/>
        <v>6.9850000000000003</v>
      </c>
      <c r="L141" s="128">
        <f>VLOOKUP($G141,'Leistungswerte GR Schulen'!$C$6:$F$53,4,FALSE)</f>
        <v>0</v>
      </c>
      <c r="M141" s="129">
        <f t="shared" si="28"/>
        <v>0</v>
      </c>
      <c r="N141" s="129">
        <f t="shared" si="31"/>
        <v>0</v>
      </c>
      <c r="O141" s="547">
        <f t="shared" si="6"/>
        <v>0</v>
      </c>
      <c r="P141" s="130">
        <f t="shared" si="32"/>
        <v>0</v>
      </c>
      <c r="Q141" s="131">
        <f t="shared" si="33"/>
        <v>0</v>
      </c>
      <c r="R141" s="578">
        <f t="shared" si="29"/>
        <v>1</v>
      </c>
    </row>
    <row r="142" spans="1:18" s="57" customFormat="1" ht="24.9" customHeight="1" x14ac:dyDescent="0.25">
      <c r="A142" s="470" t="str">
        <f>'Kalk UHR GS Deisenhofen'!A142</f>
        <v>Schule</v>
      </c>
      <c r="B142" s="302" t="str">
        <f>'Kalk UHR GS Deisenhofen'!B142</f>
        <v>EG</v>
      </c>
      <c r="C142" s="302" t="str">
        <f>'Kalk UHR GS Deisenhofen'!C142</f>
        <v>E.C.T.05</v>
      </c>
      <c r="D142" s="302" t="str">
        <f>'Kalk UHR GS Deisenhofen'!D142</f>
        <v>Treppe</v>
      </c>
      <c r="E142" s="302" t="str">
        <f>'Kalk UHR GS Deisenhofen'!E142</f>
        <v>Naturstein</v>
      </c>
      <c r="F142" s="469" t="str">
        <f>'Kalk UHR GS Deisenhofen'!F142</f>
        <v>Z-kR</v>
      </c>
      <c r="G142" s="414" t="str">
        <f t="shared" si="19"/>
        <v>Z--kR</v>
      </c>
      <c r="H142" s="127">
        <f>'Kalk UHR GS Deisenhofen'!G142</f>
        <v>36.44</v>
      </c>
      <c r="I142" s="97" t="s">
        <v>68</v>
      </c>
      <c r="J142" s="328">
        <f>VLOOKUP(I142,Turnus!$D$9:$E$26,2,FALSE)</f>
        <v>0</v>
      </c>
      <c r="K142" s="127">
        <f t="shared" si="30"/>
        <v>0</v>
      </c>
      <c r="L142" s="128">
        <f>VLOOKUP($G142,'Leistungswerte GR Schulen'!$C$6:$F$53,4,FALSE)</f>
        <v>0</v>
      </c>
      <c r="M142" s="129">
        <f t="shared" si="28"/>
        <v>0</v>
      </c>
      <c r="N142" s="129">
        <f t="shared" si="31"/>
        <v>0</v>
      </c>
      <c r="O142" s="547">
        <f t="shared" si="6"/>
        <v>0</v>
      </c>
      <c r="P142" s="130">
        <f t="shared" si="32"/>
        <v>0</v>
      </c>
      <c r="Q142" s="131">
        <f t="shared" si="33"/>
        <v>0</v>
      </c>
      <c r="R142" s="578">
        <f t="shared" si="29"/>
        <v>1</v>
      </c>
    </row>
    <row r="143" spans="1:18" s="57" customFormat="1" ht="24.9" customHeight="1" x14ac:dyDescent="0.25">
      <c r="A143" s="470" t="str">
        <f>'Kalk UHR GS Deisenhofen'!A143</f>
        <v>Schule</v>
      </c>
      <c r="B143" s="302" t="str">
        <f>'Kalk UHR GS Deisenhofen'!B143</f>
        <v>EG</v>
      </c>
      <c r="C143" s="302" t="str">
        <f>'Kalk UHR GS Deisenhofen'!C143</f>
        <v>E.C.F.08</v>
      </c>
      <c r="D143" s="302" t="str">
        <f>'Kalk UHR GS Deisenhofen'!D143</f>
        <v>Flur</v>
      </c>
      <c r="E143" s="302" t="str">
        <f>'Kalk UHR GS Deisenhofen'!E143</f>
        <v>Linoleum</v>
      </c>
      <c r="F143" s="469" t="str">
        <f>'Kalk UHR GS Deisenhofen'!F143</f>
        <v>F1-W5</v>
      </c>
      <c r="G143" s="228" t="str">
        <f t="shared" si="19"/>
        <v>F1-J0,5</v>
      </c>
      <c r="H143" s="127">
        <f>'Kalk UHR GS Deisenhofen'!G143</f>
        <v>22.93</v>
      </c>
      <c r="I143" s="97" t="s">
        <v>909</v>
      </c>
      <c r="J143" s="328">
        <f>VLOOKUP(I143,Turnus!$D$9:$E$26,2,FALSE)</f>
        <v>0.5</v>
      </c>
      <c r="K143" s="127">
        <f t="shared" si="30"/>
        <v>11.465</v>
      </c>
      <c r="L143" s="128">
        <f>VLOOKUP($G143,'Leistungswerte GR Schulen'!$C$6:$F$53,4,FALSE)</f>
        <v>0</v>
      </c>
      <c r="M143" s="129">
        <f t="shared" si="28"/>
        <v>0</v>
      </c>
      <c r="N143" s="129">
        <f t="shared" si="31"/>
        <v>0</v>
      </c>
      <c r="O143" s="547">
        <f t="shared" si="6"/>
        <v>0</v>
      </c>
      <c r="P143" s="130">
        <f t="shared" si="32"/>
        <v>0</v>
      </c>
      <c r="Q143" s="131">
        <f t="shared" si="33"/>
        <v>0</v>
      </c>
      <c r="R143" s="578">
        <f t="shared" si="29"/>
        <v>1</v>
      </c>
    </row>
    <row r="144" spans="1:18" s="57" customFormat="1" ht="24.9" customHeight="1" x14ac:dyDescent="0.25">
      <c r="A144" s="470" t="str">
        <f>'Kalk UHR GS Deisenhofen'!A144</f>
        <v>Schule</v>
      </c>
      <c r="B144" s="302" t="str">
        <f>'Kalk UHR GS Deisenhofen'!B144</f>
        <v>EG</v>
      </c>
      <c r="C144" s="302" t="str">
        <f>'Kalk UHR GS Deisenhofen'!C144</f>
        <v>E.C.F.09</v>
      </c>
      <c r="D144" s="302" t="str">
        <f>'Kalk UHR GS Deisenhofen'!D144</f>
        <v>Flur</v>
      </c>
      <c r="E144" s="302" t="str">
        <f>'Kalk UHR GS Deisenhofen'!E144</f>
        <v>Linoleum</v>
      </c>
      <c r="F144" s="469" t="str">
        <f>'Kalk UHR GS Deisenhofen'!F144</f>
        <v>F1-W5</v>
      </c>
      <c r="G144" s="228" t="str">
        <f t="shared" si="19"/>
        <v>F1-J0,5</v>
      </c>
      <c r="H144" s="127">
        <f>'Kalk UHR GS Deisenhofen'!G144</f>
        <v>70.260000000000005</v>
      </c>
      <c r="I144" s="97" t="s">
        <v>909</v>
      </c>
      <c r="J144" s="328">
        <f>VLOOKUP(I144,Turnus!$D$9:$E$26,2,FALSE)</f>
        <v>0.5</v>
      </c>
      <c r="K144" s="127">
        <f t="shared" si="30"/>
        <v>35.130000000000003</v>
      </c>
      <c r="L144" s="128">
        <f>VLOOKUP($G144,'Leistungswerte GR Schulen'!$C$6:$F$53,4,FALSE)</f>
        <v>0</v>
      </c>
      <c r="M144" s="129">
        <f t="shared" si="28"/>
        <v>0</v>
      </c>
      <c r="N144" s="129">
        <f t="shared" si="31"/>
        <v>0</v>
      </c>
      <c r="O144" s="547">
        <f t="shared" si="6"/>
        <v>0</v>
      </c>
      <c r="P144" s="130">
        <f t="shared" si="32"/>
        <v>0</v>
      </c>
      <c r="Q144" s="131">
        <f t="shared" si="33"/>
        <v>0</v>
      </c>
      <c r="R144" s="578">
        <f t="shared" si="29"/>
        <v>1</v>
      </c>
    </row>
    <row r="145" spans="1:18" s="57" customFormat="1" ht="24.9" customHeight="1" x14ac:dyDescent="0.25">
      <c r="A145" s="470" t="str">
        <f>'Kalk UHR GS Deisenhofen'!A145</f>
        <v>Schule</v>
      </c>
      <c r="B145" s="302" t="str">
        <f>'Kalk UHR GS Deisenhofen'!B145</f>
        <v>EG</v>
      </c>
      <c r="C145" s="302" t="str">
        <f>'Kalk UHR GS Deisenhofen'!C145</f>
        <v>E.C.37</v>
      </c>
      <c r="D145" s="302" t="str">
        <f>'Kalk UHR GS Deisenhofen'!D145</f>
        <v>Musikraum</v>
      </c>
      <c r="E145" s="302" t="str">
        <f>'Kalk UHR GS Deisenhofen'!E145</f>
        <v>Linoleum</v>
      </c>
      <c r="F145" s="469" t="str">
        <f>'Kalk UHR GS Deisenhofen'!F145</f>
        <v>U2-W3</v>
      </c>
      <c r="G145" s="228" t="str">
        <f t="shared" si="19"/>
        <v>U2-J0,5</v>
      </c>
      <c r="H145" s="127">
        <f>'Kalk UHR GS Deisenhofen'!G145</f>
        <v>74.55</v>
      </c>
      <c r="I145" s="97" t="s">
        <v>909</v>
      </c>
      <c r="J145" s="328">
        <f>VLOOKUP(I145,Turnus!$D$9:$E$26,2,FALSE)</f>
        <v>0.5</v>
      </c>
      <c r="K145" s="127">
        <f t="shared" si="30"/>
        <v>37.274999999999999</v>
      </c>
      <c r="L145" s="128">
        <f>VLOOKUP($G145,'Leistungswerte GR Schulen'!$C$6:$F$53,4,FALSE)</f>
        <v>0</v>
      </c>
      <c r="M145" s="129">
        <f t="shared" si="28"/>
        <v>0</v>
      </c>
      <c r="N145" s="129">
        <f t="shared" si="31"/>
        <v>0</v>
      </c>
      <c r="O145" s="547">
        <f t="shared" si="6"/>
        <v>0</v>
      </c>
      <c r="P145" s="130">
        <f t="shared" si="32"/>
        <v>0</v>
      </c>
      <c r="Q145" s="131">
        <f t="shared" si="33"/>
        <v>0</v>
      </c>
      <c r="R145" s="578">
        <f t="shared" si="29"/>
        <v>1</v>
      </c>
    </row>
    <row r="146" spans="1:18" s="57" customFormat="1" ht="24.9" customHeight="1" x14ac:dyDescent="0.25">
      <c r="A146" s="470" t="str">
        <f>'Kalk UHR GS Deisenhofen'!A146</f>
        <v>Schule</v>
      </c>
      <c r="B146" s="302" t="str">
        <f>'Kalk UHR GS Deisenhofen'!B146</f>
        <v>EG</v>
      </c>
      <c r="C146" s="302" t="str">
        <f>'Kalk UHR GS Deisenhofen'!C146</f>
        <v>E.C.38</v>
      </c>
      <c r="D146" s="302" t="str">
        <f>'Kalk UHR GS Deisenhofen'!D146</f>
        <v>Silentium</v>
      </c>
      <c r="E146" s="302" t="str">
        <f>'Kalk UHR GS Deisenhofen'!E146</f>
        <v>Linoleum</v>
      </c>
      <c r="F146" s="469" t="str">
        <f>'Kalk UHR GS Deisenhofen'!F146</f>
        <v>B2-W3</v>
      </c>
      <c r="G146" s="228" t="str">
        <f t="shared" si="19"/>
        <v>B2-J0,5</v>
      </c>
      <c r="H146" s="127">
        <f>'Kalk UHR GS Deisenhofen'!G146</f>
        <v>28.88</v>
      </c>
      <c r="I146" s="97" t="s">
        <v>909</v>
      </c>
      <c r="J146" s="328">
        <f>VLOOKUP(I146,Turnus!$D$9:$E$26,2,FALSE)</f>
        <v>0.5</v>
      </c>
      <c r="K146" s="127">
        <f t="shared" si="30"/>
        <v>14.44</v>
      </c>
      <c r="L146" s="128">
        <f>VLOOKUP($G146,'Leistungswerte GR Schulen'!$C$6:$F$53,4,FALSE)</f>
        <v>0</v>
      </c>
      <c r="M146" s="129">
        <f t="shared" si="28"/>
        <v>0</v>
      </c>
      <c r="N146" s="129">
        <f t="shared" si="31"/>
        <v>0</v>
      </c>
      <c r="O146" s="547">
        <f t="shared" si="6"/>
        <v>0</v>
      </c>
      <c r="P146" s="130">
        <f t="shared" si="32"/>
        <v>0</v>
      </c>
      <c r="Q146" s="131">
        <f t="shared" si="33"/>
        <v>0</v>
      </c>
      <c r="R146" s="578">
        <f t="shared" si="29"/>
        <v>1</v>
      </c>
    </row>
    <row r="147" spans="1:18" s="57" customFormat="1" ht="24.9" customHeight="1" x14ac:dyDescent="0.25">
      <c r="A147" s="470" t="str">
        <f>'Kalk UHR GS Deisenhofen'!A147</f>
        <v>Schule</v>
      </c>
      <c r="B147" s="302" t="str">
        <f>'Kalk UHR GS Deisenhofen'!B147</f>
        <v>EG</v>
      </c>
      <c r="C147" s="302" t="str">
        <f>'Kalk UHR GS Deisenhofen'!C147</f>
        <v>E.C.39</v>
      </c>
      <c r="D147" s="302" t="str">
        <f>'Kalk UHR GS Deisenhofen'!D147</f>
        <v>Bibliothek</v>
      </c>
      <c r="E147" s="302" t="str">
        <f>'Kalk UHR GS Deisenhofen'!E147</f>
        <v>Linoleum</v>
      </c>
      <c r="F147" s="469" t="str">
        <f>'Kalk UHR GS Deisenhofen'!F147</f>
        <v>B2-W3</v>
      </c>
      <c r="G147" s="228" t="str">
        <f t="shared" si="19"/>
        <v>B2-J0,5</v>
      </c>
      <c r="H147" s="127">
        <f>'Kalk UHR GS Deisenhofen'!G147</f>
        <v>25.4</v>
      </c>
      <c r="I147" s="97" t="s">
        <v>909</v>
      </c>
      <c r="J147" s="328">
        <f>VLOOKUP(I147,Turnus!$D$9:$E$26,2,FALSE)</f>
        <v>0.5</v>
      </c>
      <c r="K147" s="127">
        <f t="shared" si="30"/>
        <v>12.7</v>
      </c>
      <c r="L147" s="128">
        <f>VLOOKUP($G147,'Leistungswerte GR Schulen'!$C$6:$F$53,4,FALSE)</f>
        <v>0</v>
      </c>
      <c r="M147" s="129">
        <f t="shared" si="28"/>
        <v>0</v>
      </c>
      <c r="N147" s="129">
        <f t="shared" si="31"/>
        <v>0</v>
      </c>
      <c r="O147" s="547">
        <f t="shared" si="6"/>
        <v>0</v>
      </c>
      <c r="P147" s="130">
        <f t="shared" si="32"/>
        <v>0</v>
      </c>
      <c r="Q147" s="131">
        <f t="shared" si="33"/>
        <v>0</v>
      </c>
      <c r="R147" s="578">
        <f t="shared" si="29"/>
        <v>1</v>
      </c>
    </row>
    <row r="148" spans="1:18" s="57" customFormat="1" ht="24.9" customHeight="1" x14ac:dyDescent="0.25">
      <c r="A148" s="470" t="str">
        <f>'Kalk UHR GS Deisenhofen'!A148</f>
        <v>Schule</v>
      </c>
      <c r="B148" s="302" t="str">
        <f>'Kalk UHR GS Deisenhofen'!B148</f>
        <v>EG</v>
      </c>
      <c r="C148" s="302" t="str">
        <f>'Kalk UHR GS Deisenhofen'!C148</f>
        <v>E.C.40</v>
      </c>
      <c r="D148" s="302" t="str">
        <f>'Kalk UHR GS Deisenhofen'!D148</f>
        <v>Lehrerzimmer</v>
      </c>
      <c r="E148" s="302" t="str">
        <f>'Kalk UHR GS Deisenhofen'!E148</f>
        <v>Linoleum</v>
      </c>
      <c r="F148" s="469" t="str">
        <f>'Kalk UHR GS Deisenhofen'!F148</f>
        <v>A1-W3</v>
      </c>
      <c r="G148" s="228" t="str">
        <f t="shared" si="19"/>
        <v>A1-J0,5</v>
      </c>
      <c r="H148" s="127">
        <f>'Kalk UHR GS Deisenhofen'!G148</f>
        <v>65.900000000000006</v>
      </c>
      <c r="I148" s="97" t="s">
        <v>909</v>
      </c>
      <c r="J148" s="328">
        <f>VLOOKUP(I148,Turnus!$D$9:$E$26,2,FALSE)</f>
        <v>0.5</v>
      </c>
      <c r="K148" s="127">
        <f t="shared" si="30"/>
        <v>32.950000000000003</v>
      </c>
      <c r="L148" s="128">
        <f>VLOOKUP($G148,'Leistungswerte GR Schulen'!$C$6:$F$53,4,FALSE)</f>
        <v>0</v>
      </c>
      <c r="M148" s="129">
        <f t="shared" si="28"/>
        <v>0</v>
      </c>
      <c r="N148" s="129">
        <f t="shared" si="31"/>
        <v>0</v>
      </c>
      <c r="O148" s="547">
        <f t="shared" si="6"/>
        <v>0</v>
      </c>
      <c r="P148" s="130">
        <f t="shared" si="32"/>
        <v>0</v>
      </c>
      <c r="Q148" s="131">
        <f t="shared" si="33"/>
        <v>0</v>
      </c>
      <c r="R148" s="578">
        <f t="shared" si="29"/>
        <v>1</v>
      </c>
    </row>
    <row r="149" spans="1:18" s="57" customFormat="1" ht="24.9" customHeight="1" x14ac:dyDescent="0.25">
      <c r="A149" s="533" t="str">
        <f>'Kalk UHR GS Deisenhofen'!A149</f>
        <v>Mittagsbetreuung</v>
      </c>
      <c r="B149" s="302" t="str">
        <f>'Kalk UHR GS Deisenhofen'!B149</f>
        <v>EG</v>
      </c>
      <c r="C149" s="302" t="str">
        <f>'Kalk UHR GS Deisenhofen'!C149</f>
        <v>E.C.41</v>
      </c>
      <c r="D149" s="302" t="str">
        <f>'Kalk UHR GS Deisenhofen'!D149</f>
        <v>Umkleide</v>
      </c>
      <c r="E149" s="302" t="str">
        <f>'Kalk UHR GS Deisenhofen'!E149</f>
        <v>Fliesen</v>
      </c>
      <c r="F149" s="469" t="str">
        <f>'Kalk UHR GS Deisenhofen'!F149</f>
        <v>H1-W5</v>
      </c>
      <c r="G149" s="228" t="str">
        <f t="shared" si="19"/>
        <v>H1-J0,5</v>
      </c>
      <c r="H149" s="127">
        <f>'Kalk UHR GS Deisenhofen'!G149</f>
        <v>2.84</v>
      </c>
      <c r="I149" s="97" t="s">
        <v>909</v>
      </c>
      <c r="J149" s="328">
        <f>VLOOKUP(I149,Turnus!$H$9:$I$26,2,FALSE)</f>
        <v>0.5</v>
      </c>
      <c r="K149" s="127">
        <f t="shared" si="30"/>
        <v>1.42</v>
      </c>
      <c r="L149" s="128">
        <f>VLOOKUP($G149,'Leistungswerte GR Kigas'!$C$6:$F$53,4,FALSE)</f>
        <v>0</v>
      </c>
      <c r="M149" s="129">
        <f t="shared" si="28"/>
        <v>0</v>
      </c>
      <c r="N149" s="129">
        <f t="shared" si="31"/>
        <v>0</v>
      </c>
      <c r="O149" s="547">
        <f t="shared" si="6"/>
        <v>0</v>
      </c>
      <c r="P149" s="130">
        <f t="shared" si="32"/>
        <v>0</v>
      </c>
      <c r="Q149" s="131">
        <f t="shared" si="33"/>
        <v>0</v>
      </c>
      <c r="R149" s="578">
        <f t="shared" si="29"/>
        <v>2</v>
      </c>
    </row>
    <row r="150" spans="1:18" s="57" customFormat="1" ht="24.9" customHeight="1" x14ac:dyDescent="0.25">
      <c r="A150" s="533" t="str">
        <f>'Kalk UHR GS Deisenhofen'!A150</f>
        <v>Mittagsbetreuung</v>
      </c>
      <c r="B150" s="302" t="str">
        <f>'Kalk UHR GS Deisenhofen'!B150</f>
        <v>EG</v>
      </c>
      <c r="C150" s="302" t="str">
        <f>'Kalk UHR GS Deisenhofen'!C150</f>
        <v>E.C.41a</v>
      </c>
      <c r="D150" s="302" t="str">
        <f>'Kalk UHR GS Deisenhofen'!D150</f>
        <v>Dusche</v>
      </c>
      <c r="E150" s="302" t="str">
        <f>'Kalk UHR GS Deisenhofen'!E150</f>
        <v>Fliesen</v>
      </c>
      <c r="F150" s="469" t="str">
        <f>'Kalk UHR GS Deisenhofen'!F150</f>
        <v>D1-W5</v>
      </c>
      <c r="G150" s="228" t="str">
        <f t="shared" si="19"/>
        <v>D1-J1</v>
      </c>
      <c r="H150" s="127">
        <f>'Kalk UHR GS Deisenhofen'!G150</f>
        <v>3.14</v>
      </c>
      <c r="I150" s="97" t="s">
        <v>54</v>
      </c>
      <c r="J150" s="328">
        <f>VLOOKUP(I150,Turnus!$H$9:$I$26,2,FALSE)</f>
        <v>1</v>
      </c>
      <c r="K150" s="127">
        <f t="shared" si="30"/>
        <v>3.14</v>
      </c>
      <c r="L150" s="128">
        <f>VLOOKUP($G150,'Leistungswerte GR Kigas'!$C$6:$F$53,4,FALSE)</f>
        <v>0</v>
      </c>
      <c r="M150" s="129">
        <f t="shared" si="28"/>
        <v>0</v>
      </c>
      <c r="N150" s="129">
        <f t="shared" si="31"/>
        <v>0</v>
      </c>
      <c r="O150" s="547">
        <f t="shared" si="6"/>
        <v>0</v>
      </c>
      <c r="P150" s="130">
        <f t="shared" si="32"/>
        <v>0</v>
      </c>
      <c r="Q150" s="131">
        <f t="shared" si="33"/>
        <v>0</v>
      </c>
      <c r="R150" s="578">
        <f t="shared" si="29"/>
        <v>2</v>
      </c>
    </row>
    <row r="151" spans="1:18" s="57" customFormat="1" ht="24.9" customHeight="1" x14ac:dyDescent="0.25">
      <c r="A151" s="533" t="str">
        <f>'Kalk UHR GS Deisenhofen'!A151</f>
        <v>Mittagsbetreuung</v>
      </c>
      <c r="B151" s="302" t="str">
        <f>'Kalk UHR GS Deisenhofen'!B151</f>
        <v>EG</v>
      </c>
      <c r="C151" s="302" t="str">
        <f>'Kalk UHR GS Deisenhofen'!C151</f>
        <v>E.C.42</v>
      </c>
      <c r="D151" s="302" t="str">
        <f>'Kalk UHR GS Deisenhofen'!D151</f>
        <v>Putzmittel</v>
      </c>
      <c r="E151" s="302">
        <f>'Kalk UHR GS Deisenhofen'!E151</f>
        <v>0</v>
      </c>
      <c r="F151" s="469" t="str">
        <f>'Kalk UHR GS Deisenhofen'!F151</f>
        <v>Z-kR</v>
      </c>
      <c r="G151" s="228" t="str">
        <f t="shared" si="19"/>
        <v>Z--kR</v>
      </c>
      <c r="H151" s="127">
        <f>'Kalk UHR GS Deisenhofen'!G151</f>
        <v>4.1399999999999997</v>
      </c>
      <c r="I151" s="97" t="s">
        <v>68</v>
      </c>
      <c r="J151" s="328">
        <f>VLOOKUP(I151,Turnus!$H$9:$I$26,2,FALSE)</f>
        <v>0</v>
      </c>
      <c r="K151" s="127">
        <f t="shared" si="30"/>
        <v>0</v>
      </c>
      <c r="L151" s="128">
        <f>VLOOKUP($G151,'Leistungswerte GR Kigas'!$C$6:$F$53,4,FALSE)</f>
        <v>0</v>
      </c>
      <c r="M151" s="129">
        <f t="shared" si="28"/>
        <v>0</v>
      </c>
      <c r="N151" s="129">
        <f t="shared" si="31"/>
        <v>0</v>
      </c>
      <c r="O151" s="547">
        <f t="shared" si="6"/>
        <v>0</v>
      </c>
      <c r="P151" s="130">
        <f t="shared" si="32"/>
        <v>0</v>
      </c>
      <c r="Q151" s="131">
        <f t="shared" si="33"/>
        <v>0</v>
      </c>
      <c r="R151" s="578">
        <f t="shared" si="29"/>
        <v>2</v>
      </c>
    </row>
    <row r="152" spans="1:18" s="57" customFormat="1" ht="24.9" customHeight="1" x14ac:dyDescent="0.25">
      <c r="A152" s="533" t="str">
        <f>'Kalk UHR GS Deisenhofen'!A152</f>
        <v>Hort</v>
      </c>
      <c r="B152" s="302" t="str">
        <f>'Kalk UHR GS Deisenhofen'!B152</f>
        <v>EG</v>
      </c>
      <c r="C152" s="302" t="str">
        <f>'Kalk UHR GS Deisenhofen'!C152</f>
        <v>E.C.43</v>
      </c>
      <c r="D152" s="302" t="str">
        <f>'Kalk UHR GS Deisenhofen'!D152</f>
        <v>Büro Leitung</v>
      </c>
      <c r="E152" s="302" t="str">
        <f>'Kalk UHR GS Deisenhofen'!E152</f>
        <v>Linoleum</v>
      </c>
      <c r="F152" s="469" t="str">
        <f>'Kalk UHR GS Deisenhofen'!F152</f>
        <v>B1-W5</v>
      </c>
      <c r="G152" s="228" t="str">
        <f t="shared" si="19"/>
        <v>B1-J0,5</v>
      </c>
      <c r="H152" s="127">
        <f>'Kalk UHR GS Deisenhofen'!G152</f>
        <v>24.69</v>
      </c>
      <c r="I152" s="97" t="s">
        <v>909</v>
      </c>
      <c r="J152" s="328">
        <f>VLOOKUP(I152,Turnus!$H$9:$I$26,2,FALSE)</f>
        <v>0.5</v>
      </c>
      <c r="K152" s="127">
        <f t="shared" si="30"/>
        <v>12.345000000000001</v>
      </c>
      <c r="L152" s="128">
        <f>VLOOKUP($G152,'Leistungswerte GR Kigas'!$C$6:$F$53,4,FALSE)</f>
        <v>0</v>
      </c>
      <c r="M152" s="129">
        <f t="shared" si="28"/>
        <v>0</v>
      </c>
      <c r="N152" s="129">
        <f t="shared" si="31"/>
        <v>0</v>
      </c>
      <c r="O152" s="547">
        <f t="shared" si="6"/>
        <v>0</v>
      </c>
      <c r="P152" s="130">
        <f t="shared" si="32"/>
        <v>0</v>
      </c>
      <c r="Q152" s="131">
        <f t="shared" si="33"/>
        <v>0</v>
      </c>
      <c r="R152" s="578">
        <f t="shared" si="29"/>
        <v>2</v>
      </c>
    </row>
    <row r="153" spans="1:18" s="57" customFormat="1" ht="24.9" customHeight="1" x14ac:dyDescent="0.25">
      <c r="A153" s="533" t="str">
        <f>'Kalk UHR GS Deisenhofen'!A153</f>
        <v>Mittagsbetreuung</v>
      </c>
      <c r="B153" s="302" t="str">
        <f>'Kalk UHR GS Deisenhofen'!B153</f>
        <v>EG</v>
      </c>
      <c r="C153" s="302" t="str">
        <f>'Kalk UHR GS Deisenhofen'!C153</f>
        <v>E.C.F.10</v>
      </c>
      <c r="D153" s="302" t="str">
        <f>'Kalk UHR GS Deisenhofen'!D153</f>
        <v>Flur</v>
      </c>
      <c r="E153" s="302" t="str">
        <f>'Kalk UHR GS Deisenhofen'!E153</f>
        <v>Linoleum</v>
      </c>
      <c r="F153" s="469" t="str">
        <f>'Kalk UHR GS Deisenhofen'!F153</f>
        <v>F1-W5</v>
      </c>
      <c r="G153" s="228" t="str">
        <f t="shared" si="19"/>
        <v>F1-J0,5</v>
      </c>
      <c r="H153" s="127">
        <f>'Kalk UHR GS Deisenhofen'!G153</f>
        <v>23.46</v>
      </c>
      <c r="I153" s="97" t="s">
        <v>909</v>
      </c>
      <c r="J153" s="328">
        <f>VLOOKUP(I153,Turnus!$H$9:$I$26,2,FALSE)</f>
        <v>0.5</v>
      </c>
      <c r="K153" s="127">
        <f t="shared" si="30"/>
        <v>11.73</v>
      </c>
      <c r="L153" s="128">
        <f>VLOOKUP($G153,'Leistungswerte GR Kigas'!$C$6:$F$53,4,FALSE)</f>
        <v>0</v>
      </c>
      <c r="M153" s="129">
        <f t="shared" si="28"/>
        <v>0</v>
      </c>
      <c r="N153" s="129">
        <f t="shared" si="31"/>
        <v>0</v>
      </c>
      <c r="O153" s="547">
        <f t="shared" si="6"/>
        <v>0</v>
      </c>
      <c r="P153" s="130">
        <f t="shared" si="32"/>
        <v>0</v>
      </c>
      <c r="Q153" s="131">
        <f t="shared" si="33"/>
        <v>0</v>
      </c>
      <c r="R153" s="578">
        <f t="shared" si="29"/>
        <v>2</v>
      </c>
    </row>
    <row r="154" spans="1:18" s="57" customFormat="1" ht="24.9" customHeight="1" x14ac:dyDescent="0.25">
      <c r="A154" s="533" t="str">
        <f>'Kalk UHR GS Deisenhofen'!A154</f>
        <v>Mittagsbetreuung</v>
      </c>
      <c r="B154" s="302" t="str">
        <f>'Kalk UHR GS Deisenhofen'!B154</f>
        <v>EG</v>
      </c>
      <c r="C154" s="302" t="str">
        <f>'Kalk UHR GS Deisenhofen'!C154</f>
        <v>E.C.44</v>
      </c>
      <c r="D154" s="302" t="str">
        <f>'Kalk UHR GS Deisenhofen'!D154</f>
        <v>Technik</v>
      </c>
      <c r="E154" s="302" t="str">
        <f>'Kalk UHR GS Deisenhofen'!E154</f>
        <v>Hartbelag</v>
      </c>
      <c r="F154" s="469" t="str">
        <f>'Kalk UHR GS Deisenhofen'!F154</f>
        <v>Z-kR</v>
      </c>
      <c r="G154" s="228" t="str">
        <f t="shared" si="19"/>
        <v>Z--kR</v>
      </c>
      <c r="H154" s="127">
        <f>'Kalk UHR GS Deisenhofen'!G154</f>
        <v>12.26</v>
      </c>
      <c r="I154" s="97" t="s">
        <v>68</v>
      </c>
      <c r="J154" s="328">
        <f>VLOOKUP(I154,Turnus!$H$9:$I$26,2,FALSE)</f>
        <v>0</v>
      </c>
      <c r="K154" s="127">
        <f t="shared" si="30"/>
        <v>0</v>
      </c>
      <c r="L154" s="128">
        <f>VLOOKUP($G154,'Leistungswerte GR Kigas'!$C$6:$F$53,4,FALSE)</f>
        <v>0</v>
      </c>
      <c r="M154" s="129">
        <f t="shared" si="28"/>
        <v>0</v>
      </c>
      <c r="N154" s="129">
        <f t="shared" si="31"/>
        <v>0</v>
      </c>
      <c r="O154" s="547">
        <f t="shared" si="6"/>
        <v>0</v>
      </c>
      <c r="P154" s="130">
        <f t="shared" si="32"/>
        <v>0</v>
      </c>
      <c r="Q154" s="131">
        <f t="shared" si="33"/>
        <v>0</v>
      </c>
      <c r="R154" s="578">
        <f t="shared" si="29"/>
        <v>2</v>
      </c>
    </row>
    <row r="155" spans="1:18" s="57" customFormat="1" ht="24.9" customHeight="1" x14ac:dyDescent="0.25">
      <c r="A155" s="533" t="str">
        <f>'Kalk UHR GS Deisenhofen'!A155</f>
        <v>Mittagsbetreuung</v>
      </c>
      <c r="B155" s="302" t="str">
        <f>'Kalk UHR GS Deisenhofen'!B155</f>
        <v>EG</v>
      </c>
      <c r="C155" s="302" t="str">
        <f>'Kalk UHR GS Deisenhofen'!C155</f>
        <v>E.C.45a</v>
      </c>
      <c r="D155" s="302" t="str">
        <f>'Kalk UHR GS Deisenhofen'!D155</f>
        <v>Küche</v>
      </c>
      <c r="E155" s="302" t="str">
        <f>'Kalk UHR GS Deisenhofen'!E155</f>
        <v>Fliesen</v>
      </c>
      <c r="F155" s="469" t="str">
        <f>'Kalk UHR GS Deisenhofen'!F155</f>
        <v>K1-W5</v>
      </c>
      <c r="G155" s="228" t="str">
        <f t="shared" si="19"/>
        <v>K1-J1</v>
      </c>
      <c r="H155" s="127">
        <f>'Kalk UHR GS Deisenhofen'!G155</f>
        <v>41.46</v>
      </c>
      <c r="I155" s="97" t="s">
        <v>54</v>
      </c>
      <c r="J155" s="328">
        <f>VLOOKUP(I155,Turnus!$H$9:$I$26,2,FALSE)</f>
        <v>1</v>
      </c>
      <c r="K155" s="127">
        <f t="shared" si="30"/>
        <v>41.46</v>
      </c>
      <c r="L155" s="128">
        <f>VLOOKUP($G155,'Leistungswerte GR Kigas'!$C$6:$F$53,4,FALSE)</f>
        <v>0</v>
      </c>
      <c r="M155" s="129">
        <f t="shared" si="28"/>
        <v>0</v>
      </c>
      <c r="N155" s="129">
        <f t="shared" si="31"/>
        <v>0</v>
      </c>
      <c r="O155" s="547">
        <f t="shared" si="6"/>
        <v>0</v>
      </c>
      <c r="P155" s="130">
        <f t="shared" si="32"/>
        <v>0</v>
      </c>
      <c r="Q155" s="131">
        <f t="shared" si="33"/>
        <v>0</v>
      </c>
      <c r="R155" s="578">
        <f t="shared" si="29"/>
        <v>2</v>
      </c>
    </row>
    <row r="156" spans="1:18" s="57" customFormat="1" ht="24.9" customHeight="1" x14ac:dyDescent="0.25">
      <c r="A156" s="533" t="str">
        <f>'Kalk UHR GS Deisenhofen'!A156</f>
        <v>Mittagsbetreuung</v>
      </c>
      <c r="B156" s="302" t="str">
        <f>'Kalk UHR GS Deisenhofen'!B156</f>
        <v>EG</v>
      </c>
      <c r="C156" s="302" t="str">
        <f>'Kalk UHR GS Deisenhofen'!C156</f>
        <v>E.C.45b</v>
      </c>
      <c r="D156" s="302" t="str">
        <f>'Kalk UHR GS Deisenhofen'!D156</f>
        <v>Anlieferung Lebensmittel</v>
      </c>
      <c r="E156" s="302" t="str">
        <f>'Kalk UHR GS Deisenhofen'!E156</f>
        <v>Fliesen</v>
      </c>
      <c r="F156" s="469" t="str">
        <f>'Kalk UHR GS Deisenhofen'!F156</f>
        <v>K1-W5</v>
      </c>
      <c r="G156" s="228" t="str">
        <f t="shared" si="19"/>
        <v>K1-J1</v>
      </c>
      <c r="H156" s="127">
        <f>'Kalk UHR GS Deisenhofen'!G156</f>
        <v>5.68</v>
      </c>
      <c r="I156" s="97" t="s">
        <v>54</v>
      </c>
      <c r="J156" s="328">
        <f>VLOOKUP(I156,Turnus!$H$9:$I$26,2,FALSE)</f>
        <v>1</v>
      </c>
      <c r="K156" s="127">
        <f t="shared" si="30"/>
        <v>5.68</v>
      </c>
      <c r="L156" s="128">
        <f>VLOOKUP($G156,'Leistungswerte GR Kigas'!$C$6:$F$53,4,FALSE)</f>
        <v>0</v>
      </c>
      <c r="M156" s="129">
        <f t="shared" si="28"/>
        <v>0</v>
      </c>
      <c r="N156" s="129">
        <f t="shared" si="31"/>
        <v>0</v>
      </c>
      <c r="O156" s="547">
        <f t="shared" si="6"/>
        <v>0</v>
      </c>
      <c r="P156" s="130">
        <f t="shared" si="32"/>
        <v>0</v>
      </c>
      <c r="Q156" s="131">
        <f t="shared" si="33"/>
        <v>0</v>
      </c>
      <c r="R156" s="578">
        <f t="shared" si="29"/>
        <v>2</v>
      </c>
    </row>
    <row r="157" spans="1:18" s="57" customFormat="1" ht="24.9" customHeight="1" x14ac:dyDescent="0.25">
      <c r="A157" s="533" t="str">
        <f>'Kalk UHR GS Deisenhofen'!A157</f>
        <v>Mittagsbetreuung</v>
      </c>
      <c r="B157" s="302" t="str">
        <f>'Kalk UHR GS Deisenhofen'!B157</f>
        <v>EG</v>
      </c>
      <c r="C157" s="302" t="str">
        <f>'Kalk UHR GS Deisenhofen'!C157</f>
        <v>E.C.45c</v>
      </c>
      <c r="D157" s="302" t="str">
        <f>'Kalk UHR GS Deisenhofen'!D157</f>
        <v>Lager Lebensmittel</v>
      </c>
      <c r="E157" s="302" t="str">
        <f>'Kalk UHR GS Deisenhofen'!E157</f>
        <v>Fliesen</v>
      </c>
      <c r="F157" s="469" t="str">
        <f>'Kalk UHR GS Deisenhofen'!F157</f>
        <v>L1-W5</v>
      </c>
      <c r="G157" s="228" t="str">
        <f t="shared" si="19"/>
        <v>L1-J0,5</v>
      </c>
      <c r="H157" s="127">
        <f>'Kalk UHR GS Deisenhofen'!G157</f>
        <v>15.5</v>
      </c>
      <c r="I157" s="97" t="s">
        <v>909</v>
      </c>
      <c r="J157" s="328">
        <f>VLOOKUP(I157,Turnus!$H$9:$I$26,2,FALSE)</f>
        <v>0.5</v>
      </c>
      <c r="K157" s="127">
        <f t="shared" si="30"/>
        <v>7.75</v>
      </c>
      <c r="L157" s="128">
        <f>VLOOKUP($G157,'Leistungswerte GR Kigas'!$C$6:$F$53,4,FALSE)</f>
        <v>0</v>
      </c>
      <c r="M157" s="129">
        <f t="shared" si="28"/>
        <v>0</v>
      </c>
      <c r="N157" s="129">
        <f t="shared" si="31"/>
        <v>0</v>
      </c>
      <c r="O157" s="547">
        <f t="shared" si="6"/>
        <v>0</v>
      </c>
      <c r="P157" s="130">
        <f t="shared" si="32"/>
        <v>0</v>
      </c>
      <c r="Q157" s="131">
        <f t="shared" si="33"/>
        <v>0</v>
      </c>
      <c r="R157" s="578">
        <f t="shared" si="29"/>
        <v>2</v>
      </c>
    </row>
    <row r="158" spans="1:18" s="57" customFormat="1" ht="24.9" customHeight="1" x14ac:dyDescent="0.25">
      <c r="A158" s="533" t="str">
        <f>'Kalk UHR GS Deisenhofen'!A158</f>
        <v>Mittagsbetreuung</v>
      </c>
      <c r="B158" s="302" t="str">
        <f>'Kalk UHR GS Deisenhofen'!B158</f>
        <v>EG</v>
      </c>
      <c r="C158" s="302" t="str">
        <f>'Kalk UHR GS Deisenhofen'!C158</f>
        <v>E.C.F.11</v>
      </c>
      <c r="D158" s="302" t="str">
        <f>'Kalk UHR GS Deisenhofen'!D158</f>
        <v>Flur</v>
      </c>
      <c r="E158" s="302" t="str">
        <f>'Kalk UHR GS Deisenhofen'!E158</f>
        <v>Linoleum</v>
      </c>
      <c r="F158" s="469" t="str">
        <f>'Kalk UHR GS Deisenhofen'!F158</f>
        <v>F1-W5</v>
      </c>
      <c r="G158" s="228" t="str">
        <f t="shared" si="19"/>
        <v>F1-J0,5</v>
      </c>
      <c r="H158" s="127">
        <f>'Kalk UHR GS Deisenhofen'!G158</f>
        <v>58.72</v>
      </c>
      <c r="I158" s="97" t="s">
        <v>909</v>
      </c>
      <c r="J158" s="328">
        <f>VLOOKUP(I158,Turnus!$H$9:$I$26,2,FALSE)</f>
        <v>0.5</v>
      </c>
      <c r="K158" s="127">
        <f t="shared" si="30"/>
        <v>29.36</v>
      </c>
      <c r="L158" s="128">
        <f>VLOOKUP($G158,'Leistungswerte GR Kigas'!$C$6:$F$53,4,FALSE)</f>
        <v>0</v>
      </c>
      <c r="M158" s="129">
        <f t="shared" si="28"/>
        <v>0</v>
      </c>
      <c r="N158" s="129">
        <f t="shared" si="31"/>
        <v>0</v>
      </c>
      <c r="O158" s="547">
        <f t="shared" si="6"/>
        <v>0</v>
      </c>
      <c r="P158" s="130">
        <f t="shared" si="32"/>
        <v>0</v>
      </c>
      <c r="Q158" s="131">
        <f t="shared" si="33"/>
        <v>0</v>
      </c>
      <c r="R158" s="578">
        <f t="shared" si="29"/>
        <v>2</v>
      </c>
    </row>
    <row r="159" spans="1:18" s="57" customFormat="1" ht="24.9" customHeight="1" x14ac:dyDescent="0.25">
      <c r="A159" s="533" t="str">
        <f>'Kalk UHR GS Deisenhofen'!A159</f>
        <v>Mittagsbetreuung</v>
      </c>
      <c r="B159" s="302" t="str">
        <f>'Kalk UHR GS Deisenhofen'!B159</f>
        <v>EG</v>
      </c>
      <c r="C159" s="302" t="str">
        <f>'Kalk UHR GS Deisenhofen'!C159</f>
        <v>E.C.46</v>
      </c>
      <c r="D159" s="302" t="str">
        <f>'Kalk UHR GS Deisenhofen'!D159</f>
        <v>Speisesaal</v>
      </c>
      <c r="E159" s="302" t="str">
        <f>'Kalk UHR GS Deisenhofen'!E159</f>
        <v>Linoleum</v>
      </c>
      <c r="F159" s="469" t="str">
        <f>'Kalk UHR GS Deisenhofen'!F159</f>
        <v>M1-W5</v>
      </c>
      <c r="G159" s="228" t="str">
        <f t="shared" si="19"/>
        <v>M1-J1</v>
      </c>
      <c r="H159" s="127">
        <f>'Kalk UHR GS Deisenhofen'!G159</f>
        <v>93.78</v>
      </c>
      <c r="I159" s="97" t="s">
        <v>54</v>
      </c>
      <c r="J159" s="328">
        <f>VLOOKUP(I159,Turnus!$H$9:$I$26,2,FALSE)</f>
        <v>1</v>
      </c>
      <c r="K159" s="127">
        <f t="shared" si="30"/>
        <v>93.78</v>
      </c>
      <c r="L159" s="128">
        <f>VLOOKUP($G159,'Leistungswerte GR Kigas'!$C$6:$F$53,4,FALSE)</f>
        <v>0</v>
      </c>
      <c r="M159" s="129">
        <f t="shared" si="28"/>
        <v>0</v>
      </c>
      <c r="N159" s="129">
        <f t="shared" si="31"/>
        <v>0</v>
      </c>
      <c r="O159" s="547">
        <f t="shared" si="6"/>
        <v>0</v>
      </c>
      <c r="P159" s="130">
        <f t="shared" si="32"/>
        <v>0</v>
      </c>
      <c r="Q159" s="131">
        <f t="shared" si="33"/>
        <v>0</v>
      </c>
      <c r="R159" s="578">
        <f t="shared" si="29"/>
        <v>2</v>
      </c>
    </row>
    <row r="160" spans="1:18" s="57" customFormat="1" ht="24.9" customHeight="1" x14ac:dyDescent="0.25">
      <c r="A160" s="533" t="str">
        <f>'Kalk UHR GS Deisenhofen'!A160</f>
        <v>Mittagsbetreuung</v>
      </c>
      <c r="B160" s="302" t="str">
        <f>'Kalk UHR GS Deisenhofen'!B160</f>
        <v>EG</v>
      </c>
      <c r="C160" s="302" t="str">
        <f>'Kalk UHR GS Deisenhofen'!C160</f>
        <v>E.C.47</v>
      </c>
      <c r="D160" s="302" t="str">
        <f>'Kalk UHR GS Deisenhofen'!D160</f>
        <v>Tanz- und Musik</v>
      </c>
      <c r="E160" s="302" t="str">
        <f>'Kalk UHR GS Deisenhofen'!E160</f>
        <v>Linoleum</v>
      </c>
      <c r="F160" s="469" t="str">
        <f>'Kalk UHR GS Deisenhofen'!F160</f>
        <v>N2-W5</v>
      </c>
      <c r="G160" s="228" t="str">
        <f t="shared" si="19"/>
        <v>N2-J0,5</v>
      </c>
      <c r="H160" s="127">
        <f>'Kalk UHR GS Deisenhofen'!G160</f>
        <v>62.9</v>
      </c>
      <c r="I160" s="97" t="s">
        <v>909</v>
      </c>
      <c r="J160" s="328">
        <f>VLOOKUP(I160,Turnus!$H$9:$I$26,2,FALSE)</f>
        <v>0.5</v>
      </c>
      <c r="K160" s="127">
        <f t="shared" si="30"/>
        <v>31.45</v>
      </c>
      <c r="L160" s="128">
        <f>VLOOKUP($G160,'Leistungswerte GR Kigas'!$C$6:$F$53,4,FALSE)</f>
        <v>0</v>
      </c>
      <c r="M160" s="129">
        <f t="shared" si="28"/>
        <v>0</v>
      </c>
      <c r="N160" s="129">
        <f t="shared" si="31"/>
        <v>0</v>
      </c>
      <c r="O160" s="547">
        <f t="shared" si="6"/>
        <v>0</v>
      </c>
      <c r="P160" s="130">
        <f t="shared" si="32"/>
        <v>0</v>
      </c>
      <c r="Q160" s="131">
        <f t="shared" si="33"/>
        <v>0</v>
      </c>
      <c r="R160" s="578">
        <f t="shared" si="29"/>
        <v>2</v>
      </c>
    </row>
    <row r="161" spans="1:18" s="57" customFormat="1" ht="24.9" customHeight="1" x14ac:dyDescent="0.25">
      <c r="A161" s="533" t="str">
        <f>'Kalk UHR GS Deisenhofen'!A161</f>
        <v>Mittagsbetreuung</v>
      </c>
      <c r="B161" s="302" t="str">
        <f>'Kalk UHR GS Deisenhofen'!B161</f>
        <v>EG</v>
      </c>
      <c r="C161" s="302" t="str">
        <f>'Kalk UHR GS Deisenhofen'!C161</f>
        <v>E.C.F.12</v>
      </c>
      <c r="D161" s="302" t="str">
        <f>'Kalk UHR GS Deisenhofen'!D161</f>
        <v>Flur</v>
      </c>
      <c r="E161" s="302" t="str">
        <f>'Kalk UHR GS Deisenhofen'!E161</f>
        <v>Linoleum</v>
      </c>
      <c r="F161" s="469" t="str">
        <f>'Kalk UHR GS Deisenhofen'!F161</f>
        <v>F1-W5</v>
      </c>
      <c r="G161" s="228" t="str">
        <f t="shared" si="19"/>
        <v>F1-J0,5</v>
      </c>
      <c r="H161" s="127">
        <f>'Kalk UHR GS Deisenhofen'!G161</f>
        <v>50.88</v>
      </c>
      <c r="I161" s="97" t="s">
        <v>909</v>
      </c>
      <c r="J161" s="328">
        <f>VLOOKUP(I161,Turnus!$H$9:$I$26,2,FALSE)</f>
        <v>0.5</v>
      </c>
      <c r="K161" s="127">
        <f t="shared" si="30"/>
        <v>25.44</v>
      </c>
      <c r="L161" s="128">
        <f>VLOOKUP($G161,'Leistungswerte GR Kigas'!$C$6:$F$53,4,FALSE)</f>
        <v>0</v>
      </c>
      <c r="M161" s="129">
        <f t="shared" si="28"/>
        <v>0</v>
      </c>
      <c r="N161" s="129">
        <f t="shared" si="31"/>
        <v>0</v>
      </c>
      <c r="O161" s="547">
        <f t="shared" si="6"/>
        <v>0</v>
      </c>
      <c r="P161" s="130">
        <f t="shared" si="32"/>
        <v>0</v>
      </c>
      <c r="Q161" s="131">
        <f t="shared" si="33"/>
        <v>0</v>
      </c>
      <c r="R161" s="578">
        <f t="shared" si="29"/>
        <v>2</v>
      </c>
    </row>
    <row r="162" spans="1:18" s="57" customFormat="1" ht="24.9" customHeight="1" x14ac:dyDescent="0.25">
      <c r="A162" s="533" t="str">
        <f>'Kalk UHR GS Deisenhofen'!A162</f>
        <v>Mittagsbetreuung</v>
      </c>
      <c r="B162" s="302" t="str">
        <f>'Kalk UHR GS Deisenhofen'!B162</f>
        <v>EG</v>
      </c>
      <c r="C162" s="302" t="str">
        <f>'Kalk UHR GS Deisenhofen'!C162</f>
        <v>E.C.48</v>
      </c>
      <c r="D162" s="302" t="str">
        <f>'Kalk UHR GS Deisenhofen'!D162</f>
        <v>Experimentierraum</v>
      </c>
      <c r="E162" s="302" t="str">
        <f>'Kalk UHR GS Deisenhofen'!E162</f>
        <v>Linoleum</v>
      </c>
      <c r="F162" s="469" t="str">
        <f>'Kalk UHR GS Deisenhofen'!F162</f>
        <v>G1-W5</v>
      </c>
      <c r="G162" s="228" t="str">
        <f t="shared" si="19"/>
        <v>G1-J0,5</v>
      </c>
      <c r="H162" s="127">
        <f>'Kalk UHR GS Deisenhofen'!G162</f>
        <v>38.42</v>
      </c>
      <c r="I162" s="97" t="s">
        <v>909</v>
      </c>
      <c r="J162" s="328">
        <f>VLOOKUP(I162,Turnus!$H$9:$I$26,2,FALSE)</f>
        <v>0.5</v>
      </c>
      <c r="K162" s="127">
        <f t="shared" si="30"/>
        <v>19.21</v>
      </c>
      <c r="L162" s="128">
        <f>VLOOKUP($G162,'Leistungswerte GR Kigas'!$C$6:$F$53,4,FALSE)</f>
        <v>0</v>
      </c>
      <c r="M162" s="129">
        <f t="shared" si="28"/>
        <v>0</v>
      </c>
      <c r="N162" s="129">
        <f t="shared" si="31"/>
        <v>0</v>
      </c>
      <c r="O162" s="547">
        <f t="shared" si="6"/>
        <v>0</v>
      </c>
      <c r="P162" s="130">
        <f t="shared" si="32"/>
        <v>0</v>
      </c>
      <c r="Q162" s="131">
        <f t="shared" si="33"/>
        <v>0</v>
      </c>
      <c r="R162" s="578">
        <f t="shared" si="29"/>
        <v>2</v>
      </c>
    </row>
    <row r="163" spans="1:18" s="57" customFormat="1" ht="24.9" customHeight="1" x14ac:dyDescent="0.25">
      <c r="A163" s="533" t="str">
        <f>'Kalk UHR GS Deisenhofen'!A163</f>
        <v>Mittagsbetreuung</v>
      </c>
      <c r="B163" s="302" t="str">
        <f>'Kalk UHR GS Deisenhofen'!B163</f>
        <v>EG</v>
      </c>
      <c r="C163" s="302" t="str">
        <f>'Kalk UHR GS Deisenhofen'!C163</f>
        <v>E.C.49</v>
      </c>
      <c r="D163" s="302" t="str">
        <f>'Kalk UHR GS Deisenhofen'!D163</f>
        <v>Holzwerkstatt</v>
      </c>
      <c r="E163" s="302" t="str">
        <f>'Kalk UHR GS Deisenhofen'!E163</f>
        <v>Linoleum</v>
      </c>
      <c r="F163" s="469" t="str">
        <f>'Kalk UHR GS Deisenhofen'!F163</f>
        <v>G1-W5</v>
      </c>
      <c r="G163" s="228" t="str">
        <f t="shared" si="19"/>
        <v>G1-J0,5</v>
      </c>
      <c r="H163" s="127">
        <f>'Kalk UHR GS Deisenhofen'!G163</f>
        <v>38.42</v>
      </c>
      <c r="I163" s="97" t="s">
        <v>909</v>
      </c>
      <c r="J163" s="328">
        <f>VLOOKUP(I163,Turnus!$H$9:$I$26,2,FALSE)</f>
        <v>0.5</v>
      </c>
      <c r="K163" s="127">
        <f t="shared" si="30"/>
        <v>19.21</v>
      </c>
      <c r="L163" s="128">
        <f>VLOOKUP($G163,'Leistungswerte GR Kigas'!$C$6:$F$53,4,FALSE)</f>
        <v>0</v>
      </c>
      <c r="M163" s="129">
        <f t="shared" si="28"/>
        <v>0</v>
      </c>
      <c r="N163" s="129">
        <f t="shared" si="31"/>
        <v>0</v>
      </c>
      <c r="O163" s="547">
        <f t="shared" si="6"/>
        <v>0</v>
      </c>
      <c r="P163" s="130">
        <f t="shared" si="32"/>
        <v>0</v>
      </c>
      <c r="Q163" s="131">
        <f t="shared" si="33"/>
        <v>0</v>
      </c>
      <c r="R163" s="578">
        <f t="shared" si="29"/>
        <v>2</v>
      </c>
    </row>
    <row r="164" spans="1:18" s="57" customFormat="1" ht="24.9" customHeight="1" x14ac:dyDescent="0.25">
      <c r="A164" s="533" t="str">
        <f>'Kalk UHR GS Deisenhofen'!A164</f>
        <v>Mittagsbetreuung</v>
      </c>
      <c r="B164" s="302" t="str">
        <f>'Kalk UHR GS Deisenhofen'!B164</f>
        <v>EG</v>
      </c>
      <c r="C164" s="302" t="str">
        <f>'Kalk UHR GS Deisenhofen'!C164</f>
        <v>E.C.50</v>
      </c>
      <c r="D164" s="302" t="str">
        <f>'Kalk UHR GS Deisenhofen'!D164</f>
        <v>Kreativraum Kunst</v>
      </c>
      <c r="E164" s="302" t="str">
        <f>'Kalk UHR GS Deisenhofen'!E164</f>
        <v>Linoleum</v>
      </c>
      <c r="F164" s="469" t="str">
        <f>'Kalk UHR GS Deisenhofen'!F164</f>
        <v>G1-W5</v>
      </c>
      <c r="G164" s="228" t="str">
        <f t="shared" si="19"/>
        <v>G1-J0,5</v>
      </c>
      <c r="H164" s="127">
        <f>'Kalk UHR GS Deisenhofen'!G164</f>
        <v>62.04</v>
      </c>
      <c r="I164" s="97" t="s">
        <v>909</v>
      </c>
      <c r="J164" s="328">
        <f>VLOOKUP(I164,Turnus!$H$9:$I$26,2,FALSE)</f>
        <v>0.5</v>
      </c>
      <c r="K164" s="127">
        <f t="shared" si="30"/>
        <v>31.02</v>
      </c>
      <c r="L164" s="128">
        <f>VLOOKUP($G164,'Leistungswerte GR Kigas'!$C$6:$F$53,4,FALSE)</f>
        <v>0</v>
      </c>
      <c r="M164" s="129">
        <f t="shared" si="28"/>
        <v>0</v>
      </c>
      <c r="N164" s="129">
        <f t="shared" si="31"/>
        <v>0</v>
      </c>
      <c r="O164" s="547">
        <f t="shared" si="6"/>
        <v>0</v>
      </c>
      <c r="P164" s="130">
        <f t="shared" si="32"/>
        <v>0</v>
      </c>
      <c r="Q164" s="131">
        <f t="shared" si="33"/>
        <v>0</v>
      </c>
      <c r="R164" s="578">
        <f t="shared" si="29"/>
        <v>2</v>
      </c>
    </row>
    <row r="165" spans="1:18" s="57" customFormat="1" ht="24.9" customHeight="1" x14ac:dyDescent="0.25">
      <c r="A165" s="533" t="str">
        <f>'Kalk UHR GS Deisenhofen'!A165</f>
        <v>Mittagsbetreuung</v>
      </c>
      <c r="B165" s="302" t="str">
        <f>'Kalk UHR GS Deisenhofen'!B165</f>
        <v>EG</v>
      </c>
      <c r="C165" s="302" t="str">
        <f>'Kalk UHR GS Deisenhofen'!C165</f>
        <v>E.C.F.13</v>
      </c>
      <c r="D165" s="302" t="str">
        <f>'Kalk UHR GS Deisenhofen'!D165</f>
        <v>Flur</v>
      </c>
      <c r="E165" s="302" t="str">
        <f>'Kalk UHR GS Deisenhofen'!E165</f>
        <v>Linoleum</v>
      </c>
      <c r="F165" s="469" t="str">
        <f>'Kalk UHR GS Deisenhofen'!F165</f>
        <v>F1-W5</v>
      </c>
      <c r="G165" s="228" t="str">
        <f t="shared" si="19"/>
        <v>F1-J0,5</v>
      </c>
      <c r="H165" s="127">
        <f>'Kalk UHR GS Deisenhofen'!G165</f>
        <v>40.729999999999997</v>
      </c>
      <c r="I165" s="97" t="s">
        <v>909</v>
      </c>
      <c r="J165" s="328">
        <f>VLOOKUP(I165,Turnus!$H$9:$I$26,2,FALSE)</f>
        <v>0.5</v>
      </c>
      <c r="K165" s="127">
        <f t="shared" si="30"/>
        <v>20.364999999999998</v>
      </c>
      <c r="L165" s="128">
        <f>VLOOKUP($G165,'Leistungswerte GR Kigas'!$C$6:$F$53,4,FALSE)</f>
        <v>0</v>
      </c>
      <c r="M165" s="129">
        <f t="shared" si="28"/>
        <v>0</v>
      </c>
      <c r="N165" s="129">
        <f t="shared" si="31"/>
        <v>0</v>
      </c>
      <c r="O165" s="547">
        <f t="shared" si="6"/>
        <v>0</v>
      </c>
      <c r="P165" s="130">
        <f t="shared" si="32"/>
        <v>0</v>
      </c>
      <c r="Q165" s="131">
        <f t="shared" si="33"/>
        <v>0</v>
      </c>
      <c r="R165" s="578">
        <f t="shared" si="29"/>
        <v>2</v>
      </c>
    </row>
    <row r="166" spans="1:18" s="57" customFormat="1" ht="24.9" customHeight="1" x14ac:dyDescent="0.25">
      <c r="A166" s="533" t="str">
        <f>'Kalk UHR GS Deisenhofen'!A166</f>
        <v>Mittagsbetreuung</v>
      </c>
      <c r="B166" s="302" t="str">
        <f>'Kalk UHR GS Deisenhofen'!B166</f>
        <v>EG</v>
      </c>
      <c r="C166" s="302" t="str">
        <f>'Kalk UHR GS Deisenhofen'!C166</f>
        <v>E.C.T.06</v>
      </c>
      <c r="D166" s="302" t="str">
        <f>'Kalk UHR GS Deisenhofen'!D166</f>
        <v>Treppe</v>
      </c>
      <c r="E166" s="302" t="str">
        <f>'Kalk UHR GS Deisenhofen'!E166</f>
        <v>Naturstein</v>
      </c>
      <c r="F166" s="469" t="str">
        <f>'Kalk UHR GS Deisenhofen'!F166</f>
        <v>F3-W5</v>
      </c>
      <c r="G166" s="228" t="str">
        <f t="shared" si="19"/>
        <v>F3-J0,5</v>
      </c>
      <c r="H166" s="127">
        <f>'Kalk UHR GS Deisenhofen'!G166</f>
        <v>41.62</v>
      </c>
      <c r="I166" s="97" t="s">
        <v>909</v>
      </c>
      <c r="J166" s="328">
        <f>VLOOKUP(I166,Turnus!$H$9:$I$26,2,FALSE)</f>
        <v>0.5</v>
      </c>
      <c r="K166" s="127">
        <f t="shared" si="30"/>
        <v>20.81</v>
      </c>
      <c r="L166" s="128">
        <f>VLOOKUP($G166,'Leistungswerte GR Kigas'!$C$6:$F$53,4,FALSE)</f>
        <v>0</v>
      </c>
      <c r="M166" s="129">
        <f t="shared" si="28"/>
        <v>0</v>
      </c>
      <c r="N166" s="129">
        <f t="shared" si="31"/>
        <v>0</v>
      </c>
      <c r="O166" s="547">
        <f t="shared" si="6"/>
        <v>0</v>
      </c>
      <c r="P166" s="130">
        <f t="shared" si="32"/>
        <v>0</v>
      </c>
      <c r="Q166" s="131">
        <f t="shared" si="33"/>
        <v>0</v>
      </c>
      <c r="R166" s="578">
        <f t="shared" si="29"/>
        <v>2</v>
      </c>
    </row>
    <row r="167" spans="1:18" s="57" customFormat="1" ht="24.9" customHeight="1" x14ac:dyDescent="0.25">
      <c r="A167" s="533" t="str">
        <f>'Kalk UHR GS Deisenhofen'!A167</f>
        <v>Hort</v>
      </c>
      <c r="B167" s="302" t="str">
        <f>'Kalk UHR GS Deisenhofen'!B167</f>
        <v>EG</v>
      </c>
      <c r="C167" s="302" t="str">
        <f>'Kalk UHR GS Deisenhofen'!C167</f>
        <v>E.D.T.07</v>
      </c>
      <c r="D167" s="302" t="str">
        <f>'Kalk UHR GS Deisenhofen'!D167</f>
        <v>Treppe</v>
      </c>
      <c r="E167" s="302" t="str">
        <f>'Kalk UHR GS Deisenhofen'!E167</f>
        <v>Naturstein</v>
      </c>
      <c r="F167" s="469" t="str">
        <f>'Kalk UHR GS Deisenhofen'!F167</f>
        <v>F3-W5</v>
      </c>
      <c r="G167" s="228" t="str">
        <f t="shared" si="19"/>
        <v>F3-J0,5</v>
      </c>
      <c r="H167" s="127">
        <f>'Kalk UHR GS Deisenhofen'!G167</f>
        <v>23.29</v>
      </c>
      <c r="I167" s="97" t="s">
        <v>909</v>
      </c>
      <c r="J167" s="328">
        <f>VLOOKUP(I167,Turnus!$H$9:$I$26,2,FALSE)</f>
        <v>0.5</v>
      </c>
      <c r="K167" s="127">
        <f t="shared" si="24"/>
        <v>11.645</v>
      </c>
      <c r="L167" s="128">
        <f>VLOOKUP($G167,'Leistungswerte GR Kigas'!$C$6:$F$53,4,FALSE)</f>
        <v>0</v>
      </c>
      <c r="M167" s="129">
        <f t="shared" si="28"/>
        <v>0</v>
      </c>
      <c r="N167" s="129">
        <f t="shared" si="25"/>
        <v>0</v>
      </c>
      <c r="O167" s="547">
        <f t="shared" si="6"/>
        <v>0</v>
      </c>
      <c r="P167" s="130">
        <f t="shared" si="26"/>
        <v>0</v>
      </c>
      <c r="Q167" s="131">
        <f t="shared" si="27"/>
        <v>0</v>
      </c>
      <c r="R167" s="578">
        <f t="shared" si="29"/>
        <v>2</v>
      </c>
    </row>
    <row r="168" spans="1:18" s="57" customFormat="1" ht="24.9" customHeight="1" x14ac:dyDescent="0.25">
      <c r="A168" s="470" t="str">
        <f>'Kalk UHR GS Deisenhofen'!A168</f>
        <v>Schule</v>
      </c>
      <c r="B168" s="302" t="str">
        <f>'Kalk UHR GS Deisenhofen'!B168</f>
        <v>EG</v>
      </c>
      <c r="C168" s="302" t="str">
        <f>'Kalk UHR GS Deisenhofen'!C168</f>
        <v>E.D.59</v>
      </c>
      <c r="D168" s="302" t="str">
        <f>'Kalk UHR GS Deisenhofen'!D168</f>
        <v>Werken</v>
      </c>
      <c r="E168" s="302" t="str">
        <f>'Kalk UHR GS Deisenhofen'!E168</f>
        <v>PVC</v>
      </c>
      <c r="F168" s="469" t="str">
        <f>'Kalk UHR GS Deisenhofen'!F168</f>
        <v>U2-W3</v>
      </c>
      <c r="G168" s="228" t="str">
        <f t="shared" si="19"/>
        <v>U2-J0,5</v>
      </c>
      <c r="H168" s="127">
        <f>'Kalk UHR GS Deisenhofen'!G168</f>
        <v>64.56</v>
      </c>
      <c r="I168" s="97" t="s">
        <v>909</v>
      </c>
      <c r="J168" s="328">
        <f>VLOOKUP(I168,Turnus!$D$9:$E$26,2,FALSE)</f>
        <v>0.5</v>
      </c>
      <c r="K168" s="127">
        <f t="shared" si="24"/>
        <v>32.28</v>
      </c>
      <c r="L168" s="128">
        <f>VLOOKUP($G168,'Leistungswerte GR Schulen'!$C$6:$F$53,4,FALSE)</f>
        <v>0</v>
      </c>
      <c r="M168" s="129">
        <f t="shared" si="28"/>
        <v>0</v>
      </c>
      <c r="N168" s="129">
        <f t="shared" si="25"/>
        <v>0</v>
      </c>
      <c r="O168" s="547">
        <f t="shared" si="6"/>
        <v>0</v>
      </c>
      <c r="P168" s="130">
        <f t="shared" si="26"/>
        <v>0</v>
      </c>
      <c r="Q168" s="131">
        <f t="shared" si="27"/>
        <v>0</v>
      </c>
      <c r="R168" s="578">
        <f t="shared" si="29"/>
        <v>1</v>
      </c>
    </row>
    <row r="169" spans="1:18" s="57" customFormat="1" ht="24.9" customHeight="1" x14ac:dyDescent="0.25">
      <c r="A169" s="470" t="str">
        <f>'Kalk UHR GS Deisenhofen'!A169</f>
        <v>Schule</v>
      </c>
      <c r="B169" s="302" t="str">
        <f>'Kalk UHR GS Deisenhofen'!B169</f>
        <v>EG</v>
      </c>
      <c r="C169" s="302" t="str">
        <f>'Kalk UHR GS Deisenhofen'!C169</f>
        <v>E.D.60</v>
      </c>
      <c r="D169" s="302" t="str">
        <f>'Kalk UHR GS Deisenhofen'!D169</f>
        <v>Nebenraum Werken</v>
      </c>
      <c r="E169" s="302" t="str">
        <f>'Kalk UHR GS Deisenhofen'!E169</f>
        <v>PVC</v>
      </c>
      <c r="F169" s="469" t="str">
        <f>'Kalk UHR GS Deisenhofen'!F169</f>
        <v>U3-W1</v>
      </c>
      <c r="G169" s="228" t="str">
        <f t="shared" si="19"/>
        <v>U3-J0,5</v>
      </c>
      <c r="H169" s="127">
        <f>'Kalk UHR GS Deisenhofen'!G169</f>
        <v>31.75</v>
      </c>
      <c r="I169" s="97" t="s">
        <v>909</v>
      </c>
      <c r="J169" s="328">
        <f>VLOOKUP(I169,Turnus!$D$9:$E$26,2,FALSE)</f>
        <v>0.5</v>
      </c>
      <c r="K169" s="127">
        <f t="shared" ref="K169:K210" si="34">+H169*J169</f>
        <v>15.875</v>
      </c>
      <c r="L169" s="128">
        <f>VLOOKUP($G169,'Leistungswerte GR Schulen'!$C$6:$F$53,4,FALSE)</f>
        <v>0</v>
      </c>
      <c r="M169" s="129">
        <f t="shared" si="28"/>
        <v>0</v>
      </c>
      <c r="N169" s="129">
        <f t="shared" ref="N169:N210" si="35">IF(ISERROR(K169/L169),0,K169/L169)</f>
        <v>0</v>
      </c>
      <c r="O169" s="547">
        <f t="shared" si="6"/>
        <v>0</v>
      </c>
      <c r="P169" s="130">
        <f t="shared" ref="P169:P210" si="36">IF(ISERROR(H169/L169*O169),0,H169/L169*O169)</f>
        <v>0</v>
      </c>
      <c r="Q169" s="131">
        <f t="shared" ref="Q169:Q210" si="37">+N169*O169</f>
        <v>0</v>
      </c>
      <c r="R169" s="578">
        <f t="shared" si="29"/>
        <v>1</v>
      </c>
    </row>
    <row r="170" spans="1:18" s="57" customFormat="1" ht="24.9" customHeight="1" x14ac:dyDescent="0.25">
      <c r="A170" s="470" t="str">
        <f>'Kalk UHR GS Deisenhofen'!A170</f>
        <v>Schule</v>
      </c>
      <c r="B170" s="302" t="str">
        <f>'Kalk UHR GS Deisenhofen'!B170</f>
        <v>EG</v>
      </c>
      <c r="C170" s="302" t="str">
        <f>'Kalk UHR GS Deisenhofen'!C170</f>
        <v>E.D.61</v>
      </c>
      <c r="D170" s="302" t="str">
        <f>'Kalk UHR GS Deisenhofen'!D170</f>
        <v>Nebenraum</v>
      </c>
      <c r="E170" s="302" t="str">
        <f>'Kalk UHR GS Deisenhofen'!E170</f>
        <v>PVC</v>
      </c>
      <c r="F170" s="469" t="str">
        <f>'Kalk UHR GS Deisenhofen'!F170</f>
        <v>U3-W1</v>
      </c>
      <c r="G170" s="228" t="str">
        <f t="shared" si="19"/>
        <v>U3-J0,5</v>
      </c>
      <c r="H170" s="127">
        <f>'Kalk UHR GS Deisenhofen'!G170</f>
        <v>31.88</v>
      </c>
      <c r="I170" s="97" t="s">
        <v>909</v>
      </c>
      <c r="J170" s="328">
        <f>VLOOKUP(I170,Turnus!$D$9:$E$26,2,FALSE)</f>
        <v>0.5</v>
      </c>
      <c r="K170" s="127">
        <f t="shared" si="34"/>
        <v>15.94</v>
      </c>
      <c r="L170" s="128">
        <f>VLOOKUP($G170,'Leistungswerte GR Schulen'!$C$6:$F$53,4,FALSE)</f>
        <v>0</v>
      </c>
      <c r="M170" s="129">
        <f t="shared" si="28"/>
        <v>0</v>
      </c>
      <c r="N170" s="129">
        <f t="shared" si="35"/>
        <v>0</v>
      </c>
      <c r="O170" s="547">
        <f t="shared" si="6"/>
        <v>0</v>
      </c>
      <c r="P170" s="130">
        <f t="shared" si="36"/>
        <v>0</v>
      </c>
      <c r="Q170" s="131">
        <f t="shared" si="37"/>
        <v>0</v>
      </c>
      <c r="R170" s="578">
        <f t="shared" si="29"/>
        <v>1</v>
      </c>
    </row>
    <row r="171" spans="1:18" s="57" customFormat="1" ht="24.9" customHeight="1" x14ac:dyDescent="0.25">
      <c r="A171" s="470" t="str">
        <f>'Kalk UHR GS Deisenhofen'!A171</f>
        <v>Schule</v>
      </c>
      <c r="B171" s="302" t="str">
        <f>'Kalk UHR GS Deisenhofen'!B171</f>
        <v>EG</v>
      </c>
      <c r="C171" s="302" t="str">
        <f>'Kalk UHR GS Deisenhofen'!C171</f>
        <v>E.D.62</v>
      </c>
      <c r="D171" s="302" t="str">
        <f>'Kalk UHR GS Deisenhofen'!D171</f>
        <v>Textilraum</v>
      </c>
      <c r="E171" s="302" t="str">
        <f>'Kalk UHR GS Deisenhofen'!E171</f>
        <v>PVC</v>
      </c>
      <c r="F171" s="469" t="str">
        <f>'Kalk UHR GS Deisenhofen'!F171</f>
        <v>U2-W3</v>
      </c>
      <c r="G171" s="228" t="str">
        <f t="shared" si="19"/>
        <v>U2-J0,5</v>
      </c>
      <c r="H171" s="127">
        <f>'Kalk UHR GS Deisenhofen'!G171</f>
        <v>64.760000000000005</v>
      </c>
      <c r="I171" s="97" t="s">
        <v>909</v>
      </c>
      <c r="J171" s="328">
        <f>VLOOKUP(I171,Turnus!$D$9:$E$26,2,FALSE)</f>
        <v>0.5</v>
      </c>
      <c r="K171" s="127">
        <f t="shared" si="34"/>
        <v>32.380000000000003</v>
      </c>
      <c r="L171" s="128">
        <f>VLOOKUP($G171,'Leistungswerte GR Schulen'!$C$6:$F$53,4,FALSE)</f>
        <v>0</v>
      </c>
      <c r="M171" s="129">
        <f t="shared" si="28"/>
        <v>0</v>
      </c>
      <c r="N171" s="129">
        <f t="shared" si="35"/>
        <v>0</v>
      </c>
      <c r="O171" s="547">
        <f t="shared" si="6"/>
        <v>0</v>
      </c>
      <c r="P171" s="130">
        <f t="shared" si="36"/>
        <v>0</v>
      </c>
      <c r="Q171" s="131">
        <f t="shared" si="37"/>
        <v>0</v>
      </c>
      <c r="R171" s="578">
        <f t="shared" si="29"/>
        <v>1</v>
      </c>
    </row>
    <row r="172" spans="1:18" s="57" customFormat="1" ht="24.9" customHeight="1" x14ac:dyDescent="0.25">
      <c r="A172" s="470" t="str">
        <f>'Kalk UHR GS Deisenhofen'!A172</f>
        <v>Schule</v>
      </c>
      <c r="B172" s="302" t="str">
        <f>'Kalk UHR GS Deisenhofen'!B172</f>
        <v>EG</v>
      </c>
      <c r="C172" s="302" t="str">
        <f>'Kalk UHR GS Deisenhofen'!C172</f>
        <v>E.D.T.08</v>
      </c>
      <c r="D172" s="302" t="str">
        <f>'Kalk UHR GS Deisenhofen'!D172</f>
        <v>Treppe</v>
      </c>
      <c r="E172" s="302" t="str">
        <f>'Kalk UHR GS Deisenhofen'!E172</f>
        <v>Naturstein</v>
      </c>
      <c r="F172" s="469" t="str">
        <f>'Kalk UHR GS Deisenhofen'!F172</f>
        <v>F3-W5</v>
      </c>
      <c r="G172" s="228" t="str">
        <f t="shared" si="19"/>
        <v>F3-J0,5</v>
      </c>
      <c r="H172" s="127">
        <f>'Kalk UHR GS Deisenhofen'!G172</f>
        <v>48.96</v>
      </c>
      <c r="I172" s="97" t="s">
        <v>909</v>
      </c>
      <c r="J172" s="328">
        <f>VLOOKUP(I172,Turnus!$D$9:$E$26,2,FALSE)</f>
        <v>0.5</v>
      </c>
      <c r="K172" s="127">
        <f t="shared" si="34"/>
        <v>24.48</v>
      </c>
      <c r="L172" s="128">
        <f>VLOOKUP($G172,'Leistungswerte GR Schulen'!$C$6:$F$53,4,FALSE)</f>
        <v>0</v>
      </c>
      <c r="M172" s="129">
        <f t="shared" si="28"/>
        <v>0</v>
      </c>
      <c r="N172" s="129">
        <f t="shared" si="35"/>
        <v>0</v>
      </c>
      <c r="O172" s="547">
        <f t="shared" si="6"/>
        <v>0</v>
      </c>
      <c r="P172" s="130">
        <f t="shared" si="36"/>
        <v>0</v>
      </c>
      <c r="Q172" s="131">
        <f t="shared" si="37"/>
        <v>0</v>
      </c>
      <c r="R172" s="578">
        <f t="shared" si="29"/>
        <v>1</v>
      </c>
    </row>
    <row r="173" spans="1:18" s="57" customFormat="1" ht="24.9" customHeight="1" x14ac:dyDescent="0.25">
      <c r="A173" s="470" t="str">
        <f>'Kalk UHR GS Deisenhofen'!A173</f>
        <v>Schule</v>
      </c>
      <c r="B173" s="302" t="str">
        <f>'Kalk UHR GS Deisenhofen'!B173</f>
        <v>EG</v>
      </c>
      <c r="C173" s="302" t="str">
        <f>'Kalk UHR GS Deisenhofen'!C173</f>
        <v>E.D.F.16</v>
      </c>
      <c r="D173" s="302" t="str">
        <f>'Kalk UHR GS Deisenhofen'!D173</f>
        <v>Flur</v>
      </c>
      <c r="E173" s="302" t="str">
        <f>'Kalk UHR GS Deisenhofen'!E173</f>
        <v>Linoleum</v>
      </c>
      <c r="F173" s="469" t="str">
        <f>'Kalk UHR GS Deisenhofen'!F173</f>
        <v>F1-W5</v>
      </c>
      <c r="G173" s="228" t="str">
        <f t="shared" si="19"/>
        <v>F1-J0,5</v>
      </c>
      <c r="H173" s="127">
        <f>'Kalk UHR GS Deisenhofen'!G173</f>
        <v>59.7</v>
      </c>
      <c r="I173" s="97" t="s">
        <v>909</v>
      </c>
      <c r="J173" s="328">
        <f>VLOOKUP(I173,Turnus!$D$9:$E$26,2,FALSE)</f>
        <v>0.5</v>
      </c>
      <c r="K173" s="127">
        <f t="shared" si="34"/>
        <v>29.85</v>
      </c>
      <c r="L173" s="128">
        <f>VLOOKUP($G173,'Leistungswerte GR Schulen'!$C$6:$F$53,4,FALSE)</f>
        <v>0</v>
      </c>
      <c r="M173" s="129">
        <f t="shared" si="28"/>
        <v>0</v>
      </c>
      <c r="N173" s="129">
        <f t="shared" si="35"/>
        <v>0</v>
      </c>
      <c r="O173" s="547">
        <f t="shared" si="6"/>
        <v>0</v>
      </c>
      <c r="P173" s="130">
        <f t="shared" si="36"/>
        <v>0</v>
      </c>
      <c r="Q173" s="131">
        <f t="shared" si="37"/>
        <v>0</v>
      </c>
      <c r="R173" s="578">
        <f t="shared" si="29"/>
        <v>1</v>
      </c>
    </row>
    <row r="174" spans="1:18" s="57" customFormat="1" ht="24.9" customHeight="1" x14ac:dyDescent="0.25">
      <c r="A174" s="470" t="str">
        <f>'Kalk UHR GS Deisenhofen'!A174</f>
        <v>Schule</v>
      </c>
      <c r="B174" s="302" t="str">
        <f>'Kalk UHR GS Deisenhofen'!B174</f>
        <v>EG</v>
      </c>
      <c r="C174" s="302" t="str">
        <f>'Kalk UHR GS Deisenhofen'!C174</f>
        <v>E.D.51</v>
      </c>
      <c r="D174" s="302" t="str">
        <f>'Kalk UHR GS Deisenhofen'!D174</f>
        <v>Hausmeisterbüro</v>
      </c>
      <c r="E174" s="302" t="str">
        <f>'Kalk UHR GS Deisenhofen'!E174</f>
        <v>Linoleum</v>
      </c>
      <c r="F174" s="469" t="str">
        <f>'Kalk UHR GS Deisenhofen'!F174</f>
        <v>B1-W1</v>
      </c>
      <c r="G174" s="228" t="str">
        <f t="shared" si="19"/>
        <v>B1-J0,5</v>
      </c>
      <c r="H174" s="127">
        <f>'Kalk UHR GS Deisenhofen'!G174</f>
        <v>16.71</v>
      </c>
      <c r="I174" s="97" t="s">
        <v>909</v>
      </c>
      <c r="J174" s="328">
        <f>VLOOKUP(I174,Turnus!$D$9:$E$26,2,FALSE)</f>
        <v>0.5</v>
      </c>
      <c r="K174" s="127">
        <f t="shared" si="34"/>
        <v>8.3550000000000004</v>
      </c>
      <c r="L174" s="128">
        <f>VLOOKUP($G174,'Leistungswerte GR Schulen'!$C$6:$F$53,4,FALSE)</f>
        <v>0</v>
      </c>
      <c r="M174" s="129">
        <f t="shared" si="28"/>
        <v>0</v>
      </c>
      <c r="N174" s="129">
        <f t="shared" si="35"/>
        <v>0</v>
      </c>
      <c r="O174" s="547">
        <f t="shared" si="6"/>
        <v>0</v>
      </c>
      <c r="P174" s="130">
        <f t="shared" si="36"/>
        <v>0</v>
      </c>
      <c r="Q174" s="131">
        <f t="shared" si="37"/>
        <v>0</v>
      </c>
      <c r="R174" s="578">
        <f t="shared" si="29"/>
        <v>1</v>
      </c>
    </row>
    <row r="175" spans="1:18" s="57" customFormat="1" ht="24.9" customHeight="1" x14ac:dyDescent="0.25">
      <c r="A175" s="470" t="str">
        <f>'Kalk UHR GS Deisenhofen'!A175</f>
        <v>Schule</v>
      </c>
      <c r="B175" s="302" t="str">
        <f>'Kalk UHR GS Deisenhofen'!B175</f>
        <v>EG</v>
      </c>
      <c r="C175" s="302" t="str">
        <f>'Kalk UHR GS Deisenhofen'!C175</f>
        <v>E.D.52</v>
      </c>
      <c r="D175" s="302" t="str">
        <f>'Kalk UHR GS Deisenhofen'!D175</f>
        <v>WC-Jungen</v>
      </c>
      <c r="E175" s="302" t="str">
        <f>'Kalk UHR GS Deisenhofen'!E175</f>
        <v>Fliesen</v>
      </c>
      <c r="F175" s="469" t="str">
        <f>'Kalk UHR GS Deisenhofen'!F175</f>
        <v>S1-W5</v>
      </c>
      <c r="G175" s="228" t="str">
        <f t="shared" si="19"/>
        <v>S1-J1</v>
      </c>
      <c r="H175" s="127">
        <f>'Kalk UHR GS Deisenhofen'!G175</f>
        <v>11.47</v>
      </c>
      <c r="I175" s="97" t="s">
        <v>54</v>
      </c>
      <c r="J175" s="328">
        <f>VLOOKUP(I175,Turnus!$D$9:$E$26,2,FALSE)</f>
        <v>1</v>
      </c>
      <c r="K175" s="127">
        <f t="shared" si="34"/>
        <v>11.47</v>
      </c>
      <c r="L175" s="128">
        <f>VLOOKUP($G175,'Leistungswerte GR Schulen'!$C$6:$F$53,4,FALSE)</f>
        <v>0</v>
      </c>
      <c r="M175" s="129">
        <f t="shared" si="28"/>
        <v>0</v>
      </c>
      <c r="N175" s="129">
        <f t="shared" si="35"/>
        <v>0</v>
      </c>
      <c r="O175" s="547">
        <f t="shared" si="6"/>
        <v>0</v>
      </c>
      <c r="P175" s="130">
        <f t="shared" si="36"/>
        <v>0</v>
      </c>
      <c r="Q175" s="131">
        <f t="shared" si="37"/>
        <v>0</v>
      </c>
      <c r="R175" s="578">
        <f t="shared" si="29"/>
        <v>1</v>
      </c>
    </row>
    <row r="176" spans="1:18" s="57" customFormat="1" ht="24.9" customHeight="1" x14ac:dyDescent="0.25">
      <c r="A176" s="470" t="str">
        <f>'Kalk UHR GS Deisenhofen'!A176</f>
        <v>Schule</v>
      </c>
      <c r="B176" s="302" t="str">
        <f>'Kalk UHR GS Deisenhofen'!B176</f>
        <v>EG</v>
      </c>
      <c r="C176" s="302" t="str">
        <f>'Kalk UHR GS Deisenhofen'!C176</f>
        <v>E.D.53</v>
      </c>
      <c r="D176" s="302" t="str">
        <f>'Kalk UHR GS Deisenhofen'!D176</f>
        <v>WC-Behinderte</v>
      </c>
      <c r="E176" s="302" t="str">
        <f>'Kalk UHR GS Deisenhofen'!E176</f>
        <v>Fliesen</v>
      </c>
      <c r="F176" s="469" t="str">
        <f>'Kalk UHR GS Deisenhofen'!F176</f>
        <v>S1-W5</v>
      </c>
      <c r="G176" s="228" t="str">
        <f t="shared" si="19"/>
        <v>S1-J1</v>
      </c>
      <c r="H176" s="127">
        <f>'Kalk UHR GS Deisenhofen'!G176</f>
        <v>7.41</v>
      </c>
      <c r="I176" s="97" t="s">
        <v>54</v>
      </c>
      <c r="J176" s="328">
        <f>VLOOKUP(I176,Turnus!$D$9:$E$26,2,FALSE)</f>
        <v>1</v>
      </c>
      <c r="K176" s="127">
        <f t="shared" si="34"/>
        <v>7.41</v>
      </c>
      <c r="L176" s="128">
        <f>VLOOKUP($G176,'Leistungswerte GR Schulen'!$C$6:$F$53,4,FALSE)</f>
        <v>0</v>
      </c>
      <c r="M176" s="129">
        <f t="shared" si="28"/>
        <v>0</v>
      </c>
      <c r="N176" s="129">
        <f t="shared" si="35"/>
        <v>0</v>
      </c>
      <c r="O176" s="547">
        <f t="shared" si="6"/>
        <v>0</v>
      </c>
      <c r="P176" s="130">
        <f t="shared" si="36"/>
        <v>0</v>
      </c>
      <c r="Q176" s="131">
        <f t="shared" si="37"/>
        <v>0</v>
      </c>
      <c r="R176" s="578">
        <f t="shared" si="29"/>
        <v>1</v>
      </c>
    </row>
    <row r="177" spans="1:18" s="57" customFormat="1" ht="24.9" customHeight="1" x14ac:dyDescent="0.25">
      <c r="A177" s="470" t="str">
        <f>'Kalk UHR GS Deisenhofen'!A177</f>
        <v>Schule</v>
      </c>
      <c r="B177" s="302" t="str">
        <f>'Kalk UHR GS Deisenhofen'!B177</f>
        <v>EG</v>
      </c>
      <c r="C177" s="302" t="str">
        <f>'Kalk UHR GS Deisenhofen'!C177</f>
        <v>E.D.54</v>
      </c>
      <c r="D177" s="302" t="str">
        <f>'Kalk UHR GS Deisenhofen'!D177</f>
        <v>WC-Mädchen</v>
      </c>
      <c r="E177" s="302" t="str">
        <f>'Kalk UHR GS Deisenhofen'!E177</f>
        <v>Fliesen</v>
      </c>
      <c r="F177" s="469" t="str">
        <f>'Kalk UHR GS Deisenhofen'!F177</f>
        <v>S1-W5</v>
      </c>
      <c r="G177" s="228" t="str">
        <f t="shared" ref="G177:G240" si="38">CONCATENATE((LEFT(F177,2)),"-",I177)</f>
        <v>S1-J1</v>
      </c>
      <c r="H177" s="127">
        <f>'Kalk UHR GS Deisenhofen'!G177</f>
        <v>11.47</v>
      </c>
      <c r="I177" s="97" t="s">
        <v>54</v>
      </c>
      <c r="J177" s="328">
        <f>VLOOKUP(I177,Turnus!$D$9:$E$26,2,FALSE)</f>
        <v>1</v>
      </c>
      <c r="K177" s="127">
        <f t="shared" si="34"/>
        <v>11.47</v>
      </c>
      <c r="L177" s="128">
        <f>VLOOKUP($G177,'Leistungswerte GR Schulen'!$C$6:$F$53,4,FALSE)</f>
        <v>0</v>
      </c>
      <c r="M177" s="129">
        <f t="shared" si="28"/>
        <v>0</v>
      </c>
      <c r="N177" s="129">
        <f t="shared" si="35"/>
        <v>0</v>
      </c>
      <c r="O177" s="547">
        <f t="shared" si="6"/>
        <v>0</v>
      </c>
      <c r="P177" s="130">
        <f t="shared" si="36"/>
        <v>0</v>
      </c>
      <c r="Q177" s="131">
        <f t="shared" si="37"/>
        <v>0</v>
      </c>
      <c r="R177" s="578">
        <f t="shared" si="29"/>
        <v>1</v>
      </c>
    </row>
    <row r="178" spans="1:18" s="57" customFormat="1" ht="24.9" customHeight="1" x14ac:dyDescent="0.25">
      <c r="A178" s="533" t="str">
        <f>'Kalk UHR GS Deisenhofen'!A178</f>
        <v>Hort</v>
      </c>
      <c r="B178" s="302" t="str">
        <f>'Kalk UHR GS Deisenhofen'!B178</f>
        <v>EG</v>
      </c>
      <c r="C178" s="302" t="str">
        <f>'Kalk UHR GS Deisenhofen'!C178</f>
        <v>E.D.F.18</v>
      </c>
      <c r="D178" s="302" t="str">
        <f>'Kalk UHR GS Deisenhofen'!D178</f>
        <v>Flur</v>
      </c>
      <c r="E178" s="302" t="str">
        <f>'Kalk UHR GS Deisenhofen'!E178</f>
        <v>Linoleum</v>
      </c>
      <c r="F178" s="469" t="str">
        <f>'Kalk UHR GS Deisenhofen'!F178</f>
        <v>F1-W5</v>
      </c>
      <c r="G178" s="228" t="str">
        <f t="shared" si="38"/>
        <v>F1-J0,5</v>
      </c>
      <c r="H178" s="127">
        <f>'Kalk UHR GS Deisenhofen'!G178</f>
        <v>66.97</v>
      </c>
      <c r="I178" s="97" t="s">
        <v>909</v>
      </c>
      <c r="J178" s="328">
        <f>VLOOKUP(I178,Turnus!$H$9:$I$26,2,FALSE)</f>
        <v>0.5</v>
      </c>
      <c r="K178" s="127">
        <f t="shared" si="34"/>
        <v>33.484999999999999</v>
      </c>
      <c r="L178" s="128">
        <f>VLOOKUP($G178,'Leistungswerte GR Kigas'!$C$6:$F$53,4,FALSE)</f>
        <v>0</v>
      </c>
      <c r="M178" s="129">
        <f t="shared" si="28"/>
        <v>0</v>
      </c>
      <c r="N178" s="129">
        <f t="shared" si="35"/>
        <v>0</v>
      </c>
      <c r="O178" s="547">
        <f t="shared" si="6"/>
        <v>0</v>
      </c>
      <c r="P178" s="130">
        <f t="shared" si="36"/>
        <v>0</v>
      </c>
      <c r="Q178" s="131">
        <f t="shared" si="37"/>
        <v>0</v>
      </c>
      <c r="R178" s="578">
        <f t="shared" si="29"/>
        <v>2</v>
      </c>
    </row>
    <row r="179" spans="1:18" s="57" customFormat="1" ht="24.9" customHeight="1" x14ac:dyDescent="0.25">
      <c r="A179" s="533" t="str">
        <f>'Kalk UHR GS Deisenhofen'!A179</f>
        <v>Hort</v>
      </c>
      <c r="B179" s="302" t="str">
        <f>'Kalk UHR GS Deisenhofen'!B179</f>
        <v>EG</v>
      </c>
      <c r="C179" s="302" t="str">
        <f>'Kalk UHR GS Deisenhofen'!C179</f>
        <v>E.D.55</v>
      </c>
      <c r="D179" s="302" t="str">
        <f>'Kalk UHR GS Deisenhofen'!D179</f>
        <v>Ruheraum</v>
      </c>
      <c r="E179" s="302" t="str">
        <f>'Kalk UHR GS Deisenhofen'!E179</f>
        <v>PVC</v>
      </c>
      <c r="F179" s="469" t="str">
        <f>'Kalk UHR GS Deisenhofen'!F179</f>
        <v>G1-W5</v>
      </c>
      <c r="G179" s="228" t="str">
        <f t="shared" si="38"/>
        <v>G1-J0,5</v>
      </c>
      <c r="H179" s="127">
        <f>'Kalk UHR GS Deisenhofen'!G179</f>
        <v>47.36</v>
      </c>
      <c r="I179" s="97" t="s">
        <v>909</v>
      </c>
      <c r="J179" s="328">
        <f>VLOOKUP(I179,Turnus!$H$9:$I$26,2,FALSE)</f>
        <v>0.5</v>
      </c>
      <c r="K179" s="127">
        <f t="shared" si="34"/>
        <v>23.68</v>
      </c>
      <c r="L179" s="128">
        <f>VLOOKUP($G179,'Leistungswerte GR Kigas'!$C$6:$F$53,4,FALSE)</f>
        <v>0</v>
      </c>
      <c r="M179" s="129">
        <f t="shared" si="28"/>
        <v>0</v>
      </c>
      <c r="N179" s="129">
        <f t="shared" si="35"/>
        <v>0</v>
      </c>
      <c r="O179" s="547">
        <f t="shared" si="6"/>
        <v>0</v>
      </c>
      <c r="P179" s="130">
        <f t="shared" si="36"/>
        <v>0</v>
      </c>
      <c r="Q179" s="131">
        <f t="shared" si="37"/>
        <v>0</v>
      </c>
      <c r="R179" s="578">
        <f t="shared" si="29"/>
        <v>2</v>
      </c>
    </row>
    <row r="180" spans="1:18" s="57" customFormat="1" ht="24.9" customHeight="1" x14ac:dyDescent="0.25">
      <c r="A180" s="533" t="str">
        <f>'Kalk UHR GS Deisenhofen'!A180</f>
        <v>Hort</v>
      </c>
      <c r="B180" s="302" t="str">
        <f>'Kalk UHR GS Deisenhofen'!B180</f>
        <v>EG</v>
      </c>
      <c r="C180" s="302" t="str">
        <f>'Kalk UHR GS Deisenhofen'!C180</f>
        <v>E.D.56</v>
      </c>
      <c r="D180" s="302" t="str">
        <f>'Kalk UHR GS Deisenhofen'!D180</f>
        <v>WC-Mädchen</v>
      </c>
      <c r="E180" s="302" t="str">
        <f>'Kalk UHR GS Deisenhofen'!E180</f>
        <v>Fliesen</v>
      </c>
      <c r="F180" s="469" t="str">
        <f>'Kalk UHR GS Deisenhofen'!F180</f>
        <v>S1-W5</v>
      </c>
      <c r="G180" s="228" t="str">
        <f t="shared" si="38"/>
        <v>S1-J1</v>
      </c>
      <c r="H180" s="127">
        <f>'Kalk UHR GS Deisenhofen'!G180</f>
        <v>11.47</v>
      </c>
      <c r="I180" s="97" t="s">
        <v>54</v>
      </c>
      <c r="J180" s="328">
        <f>VLOOKUP(I180,Turnus!$H$9:$I$26,2,FALSE)</f>
        <v>1</v>
      </c>
      <c r="K180" s="127">
        <f t="shared" si="34"/>
        <v>11.47</v>
      </c>
      <c r="L180" s="128">
        <f>VLOOKUP($G180,'Leistungswerte GR Kigas'!$C$6:$F$53,4,FALSE)</f>
        <v>0</v>
      </c>
      <c r="M180" s="129">
        <f t="shared" si="28"/>
        <v>0</v>
      </c>
      <c r="N180" s="129">
        <f t="shared" si="35"/>
        <v>0</v>
      </c>
      <c r="O180" s="547">
        <f t="shared" si="6"/>
        <v>0</v>
      </c>
      <c r="P180" s="130">
        <f t="shared" si="36"/>
        <v>0</v>
      </c>
      <c r="Q180" s="131">
        <f t="shared" si="37"/>
        <v>0</v>
      </c>
      <c r="R180" s="578">
        <f t="shared" si="29"/>
        <v>2</v>
      </c>
    </row>
    <row r="181" spans="1:18" s="57" customFormat="1" ht="24.9" customHeight="1" x14ac:dyDescent="0.25">
      <c r="A181" s="533" t="str">
        <f>'Kalk UHR GS Deisenhofen'!A181</f>
        <v>Hort</v>
      </c>
      <c r="B181" s="302" t="str">
        <f>'Kalk UHR GS Deisenhofen'!B181</f>
        <v>EG</v>
      </c>
      <c r="C181" s="302" t="str">
        <f>'Kalk UHR GS Deisenhofen'!C181</f>
        <v>E.D.56a</v>
      </c>
      <c r="D181" s="302" t="str">
        <f>'Kalk UHR GS Deisenhofen'!D181</f>
        <v>Putzmittel</v>
      </c>
      <c r="E181" s="302" t="str">
        <f>'Kalk UHR GS Deisenhofen'!E181</f>
        <v>Fliesen</v>
      </c>
      <c r="F181" s="469" t="str">
        <f>'Kalk UHR GS Deisenhofen'!F181</f>
        <v>Z-kR</v>
      </c>
      <c r="G181" s="228" t="str">
        <f t="shared" si="38"/>
        <v>Z--kR</v>
      </c>
      <c r="H181" s="127">
        <f>'Kalk UHR GS Deisenhofen'!G181</f>
        <v>3.84</v>
      </c>
      <c r="I181" s="97" t="s">
        <v>68</v>
      </c>
      <c r="J181" s="328">
        <f>VLOOKUP(I181,Turnus!$H$9:$I$26,2,FALSE)</f>
        <v>0</v>
      </c>
      <c r="K181" s="127">
        <f t="shared" si="34"/>
        <v>0</v>
      </c>
      <c r="L181" s="128">
        <f>VLOOKUP($G181,'Leistungswerte GR Kigas'!$C$6:$F$53,4,FALSE)</f>
        <v>0</v>
      </c>
      <c r="M181" s="129">
        <f t="shared" si="28"/>
        <v>0</v>
      </c>
      <c r="N181" s="129">
        <f t="shared" si="35"/>
        <v>0</v>
      </c>
      <c r="O181" s="547">
        <f t="shared" si="6"/>
        <v>0</v>
      </c>
      <c r="P181" s="130">
        <f t="shared" si="36"/>
        <v>0</v>
      </c>
      <c r="Q181" s="131">
        <f t="shared" si="37"/>
        <v>0</v>
      </c>
      <c r="R181" s="578">
        <f t="shared" si="29"/>
        <v>2</v>
      </c>
    </row>
    <row r="182" spans="1:18" s="57" customFormat="1" ht="24.9" customHeight="1" x14ac:dyDescent="0.25">
      <c r="A182" s="533" t="str">
        <f>'Kalk UHR GS Deisenhofen'!A182</f>
        <v>Hort</v>
      </c>
      <c r="B182" s="302" t="str">
        <f>'Kalk UHR GS Deisenhofen'!B182</f>
        <v>EG</v>
      </c>
      <c r="C182" s="302" t="str">
        <f>'Kalk UHR GS Deisenhofen'!C182</f>
        <v>E.D.57</v>
      </c>
      <c r="D182" s="302" t="str">
        <f>'Kalk UHR GS Deisenhofen'!D182</f>
        <v>WC-Lehrer</v>
      </c>
      <c r="E182" s="302" t="str">
        <f>'Kalk UHR GS Deisenhofen'!E182</f>
        <v>Fliesen</v>
      </c>
      <c r="F182" s="469" t="str">
        <f>'Kalk UHR GS Deisenhofen'!F182</f>
        <v>S1-W5</v>
      </c>
      <c r="G182" s="228" t="str">
        <f t="shared" si="38"/>
        <v>S1-J1</v>
      </c>
      <c r="H182" s="127">
        <f>'Kalk UHR GS Deisenhofen'!G182</f>
        <v>3.84</v>
      </c>
      <c r="I182" s="97" t="s">
        <v>54</v>
      </c>
      <c r="J182" s="328">
        <f>VLOOKUP(I182,Turnus!$H$9:$I$26,2,FALSE)</f>
        <v>1</v>
      </c>
      <c r="K182" s="127">
        <f t="shared" si="34"/>
        <v>3.84</v>
      </c>
      <c r="L182" s="128">
        <f>VLOOKUP($G182,'Leistungswerte GR Kigas'!$C$6:$F$53,4,FALSE)</f>
        <v>0</v>
      </c>
      <c r="M182" s="129">
        <f t="shared" si="28"/>
        <v>0</v>
      </c>
      <c r="N182" s="129">
        <f t="shared" si="35"/>
        <v>0</v>
      </c>
      <c r="O182" s="547">
        <f t="shared" si="6"/>
        <v>0</v>
      </c>
      <c r="P182" s="130">
        <f t="shared" si="36"/>
        <v>0</v>
      </c>
      <c r="Q182" s="131">
        <f t="shared" si="37"/>
        <v>0</v>
      </c>
      <c r="R182" s="578">
        <f t="shared" si="29"/>
        <v>2</v>
      </c>
    </row>
    <row r="183" spans="1:18" s="57" customFormat="1" ht="24.9" customHeight="1" x14ac:dyDescent="0.25">
      <c r="A183" s="533" t="str">
        <f>'Kalk UHR GS Deisenhofen'!A183</f>
        <v>Hort</v>
      </c>
      <c r="B183" s="302" t="str">
        <f>'Kalk UHR GS Deisenhofen'!B183</f>
        <v>EG</v>
      </c>
      <c r="C183" s="302" t="str">
        <f>'Kalk UHR GS Deisenhofen'!C183</f>
        <v>E.D.58</v>
      </c>
      <c r="D183" s="302" t="str">
        <f>'Kalk UHR GS Deisenhofen'!D183</f>
        <v>WC-Jungen</v>
      </c>
      <c r="E183" s="302" t="str">
        <f>'Kalk UHR GS Deisenhofen'!E183</f>
        <v>Fliesen</v>
      </c>
      <c r="F183" s="469" t="str">
        <f>'Kalk UHR GS Deisenhofen'!F183</f>
        <v>S1-W5</v>
      </c>
      <c r="G183" s="228" t="str">
        <f t="shared" si="38"/>
        <v>S1-J1</v>
      </c>
      <c r="H183" s="127">
        <f>'Kalk UHR GS Deisenhofen'!G183</f>
        <v>11.47</v>
      </c>
      <c r="I183" s="97" t="s">
        <v>54</v>
      </c>
      <c r="J183" s="328">
        <f>VLOOKUP(I183,Turnus!$H$9:$I$26,2,FALSE)</f>
        <v>1</v>
      </c>
      <c r="K183" s="127">
        <f t="shared" si="34"/>
        <v>11.47</v>
      </c>
      <c r="L183" s="128">
        <f>VLOOKUP($G183,'Leistungswerte GR Kigas'!$C$6:$F$53,4,FALSE)</f>
        <v>0</v>
      </c>
      <c r="M183" s="129">
        <f t="shared" si="28"/>
        <v>0</v>
      </c>
      <c r="N183" s="129">
        <f t="shared" si="35"/>
        <v>0</v>
      </c>
      <c r="O183" s="547">
        <f t="shared" si="6"/>
        <v>0</v>
      </c>
      <c r="P183" s="130">
        <f t="shared" si="36"/>
        <v>0</v>
      </c>
      <c r="Q183" s="131">
        <f t="shared" si="37"/>
        <v>0</v>
      </c>
      <c r="R183" s="578">
        <f t="shared" si="29"/>
        <v>2</v>
      </c>
    </row>
    <row r="184" spans="1:18" s="57" customFormat="1" ht="24.9" customHeight="1" x14ac:dyDescent="0.25">
      <c r="A184" s="533" t="str">
        <f>'Kalk UHR GS Deisenhofen'!A184</f>
        <v>Hort</v>
      </c>
      <c r="B184" s="302" t="str">
        <f>'Kalk UHR GS Deisenhofen'!B184</f>
        <v>EG</v>
      </c>
      <c r="C184" s="302" t="str">
        <f>'Kalk UHR GS Deisenhofen'!C184</f>
        <v>E.D.63</v>
      </c>
      <c r="D184" s="302" t="str">
        <f>'Kalk UHR GS Deisenhofen'!D184</f>
        <v>Gruppenraum</v>
      </c>
      <c r="E184" s="302" t="str">
        <f>'Kalk UHR GS Deisenhofen'!E184</f>
        <v>PVC</v>
      </c>
      <c r="F184" s="469" t="str">
        <f>'Kalk UHR GS Deisenhofen'!F184</f>
        <v>G1-W5</v>
      </c>
      <c r="G184" s="228" t="str">
        <f t="shared" si="38"/>
        <v>G1-J0,5</v>
      </c>
      <c r="H184" s="127">
        <f>'Kalk UHR GS Deisenhofen'!G184</f>
        <v>52.32</v>
      </c>
      <c r="I184" s="97" t="s">
        <v>909</v>
      </c>
      <c r="J184" s="328">
        <f>VLOOKUP(I184,Turnus!$H$9:$I$26,2,FALSE)</f>
        <v>0.5</v>
      </c>
      <c r="K184" s="127">
        <f t="shared" si="34"/>
        <v>26.16</v>
      </c>
      <c r="L184" s="128">
        <f>VLOOKUP($G184,'Leistungswerte GR Kigas'!$C$6:$F$53,4,FALSE)</f>
        <v>0</v>
      </c>
      <c r="M184" s="129">
        <f t="shared" si="28"/>
        <v>0</v>
      </c>
      <c r="N184" s="129">
        <f t="shared" si="35"/>
        <v>0</v>
      </c>
      <c r="O184" s="547">
        <f t="shared" si="6"/>
        <v>0</v>
      </c>
      <c r="P184" s="130">
        <f t="shared" si="36"/>
        <v>0</v>
      </c>
      <c r="Q184" s="131">
        <f t="shared" si="37"/>
        <v>0</v>
      </c>
      <c r="R184" s="578">
        <f t="shared" si="29"/>
        <v>2</v>
      </c>
    </row>
    <row r="185" spans="1:18" s="57" customFormat="1" ht="24.9" customHeight="1" x14ac:dyDescent="0.25">
      <c r="A185" s="533" t="str">
        <f>'Kalk UHR GS Deisenhofen'!A185</f>
        <v>Hort</v>
      </c>
      <c r="B185" s="302" t="str">
        <f>'Kalk UHR GS Deisenhofen'!B185</f>
        <v>EG</v>
      </c>
      <c r="C185" s="302" t="str">
        <f>'Kalk UHR GS Deisenhofen'!C185</f>
        <v>E.D.63a</v>
      </c>
      <c r="D185" s="302" t="str">
        <f>'Kalk UHR GS Deisenhofen'!D185</f>
        <v>Gruppen-Nebenraum</v>
      </c>
      <c r="E185" s="302" t="str">
        <f>'Kalk UHR GS Deisenhofen'!E185</f>
        <v>PVC</v>
      </c>
      <c r="F185" s="469" t="str">
        <f>'Kalk UHR GS Deisenhofen'!F185</f>
        <v>G1-W5</v>
      </c>
      <c r="G185" s="228" t="str">
        <f t="shared" si="38"/>
        <v>G1-J0,5</v>
      </c>
      <c r="H185" s="127">
        <f>'Kalk UHR GS Deisenhofen'!G185</f>
        <v>35.729999999999997</v>
      </c>
      <c r="I185" s="97" t="s">
        <v>909</v>
      </c>
      <c r="J185" s="328">
        <f>VLOOKUP(I185,Turnus!$H$9:$I$26,2,FALSE)</f>
        <v>0.5</v>
      </c>
      <c r="K185" s="127">
        <f t="shared" si="34"/>
        <v>17.864999999999998</v>
      </c>
      <c r="L185" s="128">
        <f>VLOOKUP($G185,'Leistungswerte GR Kigas'!$C$6:$F$53,4,FALSE)</f>
        <v>0</v>
      </c>
      <c r="M185" s="129">
        <f t="shared" si="28"/>
        <v>0</v>
      </c>
      <c r="N185" s="129">
        <f t="shared" si="35"/>
        <v>0</v>
      </c>
      <c r="O185" s="547">
        <f t="shared" si="6"/>
        <v>0</v>
      </c>
      <c r="P185" s="130">
        <f t="shared" si="36"/>
        <v>0</v>
      </c>
      <c r="Q185" s="131">
        <f t="shared" si="37"/>
        <v>0</v>
      </c>
      <c r="R185" s="578">
        <f t="shared" si="29"/>
        <v>2</v>
      </c>
    </row>
    <row r="186" spans="1:18" s="57" customFormat="1" ht="24.9" customHeight="1" x14ac:dyDescent="0.25">
      <c r="A186" s="533" t="str">
        <f>'Kalk UHR GS Deisenhofen'!A186</f>
        <v>Hort</v>
      </c>
      <c r="B186" s="302" t="str">
        <f>'Kalk UHR GS Deisenhofen'!B186</f>
        <v>EG</v>
      </c>
      <c r="C186" s="302" t="str">
        <f>'Kalk UHR GS Deisenhofen'!C186</f>
        <v>E.D.64</v>
      </c>
      <c r="D186" s="302" t="str">
        <f>'Kalk UHR GS Deisenhofen'!D186</f>
        <v>Vorraum</v>
      </c>
      <c r="E186" s="302" t="str">
        <f>'Kalk UHR GS Deisenhofen'!E186</f>
        <v>PVC</v>
      </c>
      <c r="F186" s="469" t="str">
        <f>'Kalk UHR GS Deisenhofen'!F186</f>
        <v>U3-W5</v>
      </c>
      <c r="G186" s="228" t="str">
        <f t="shared" si="38"/>
        <v>U3-J0,5</v>
      </c>
      <c r="H186" s="127">
        <f>'Kalk UHR GS Deisenhofen'!G186</f>
        <v>4.58</v>
      </c>
      <c r="I186" s="97" t="s">
        <v>909</v>
      </c>
      <c r="J186" s="328">
        <f>VLOOKUP(I186,Turnus!$H$9:$I$26,2,FALSE)</f>
        <v>0.5</v>
      </c>
      <c r="K186" s="127">
        <f t="shared" si="34"/>
        <v>2.29</v>
      </c>
      <c r="L186" s="128">
        <f>VLOOKUP($G186,'Leistungswerte GR Kigas'!$C$6:$F$53,4,FALSE)</f>
        <v>0</v>
      </c>
      <c r="M186" s="129">
        <f t="shared" si="28"/>
        <v>0</v>
      </c>
      <c r="N186" s="129">
        <f t="shared" si="35"/>
        <v>0</v>
      </c>
      <c r="O186" s="547">
        <f t="shared" si="6"/>
        <v>0</v>
      </c>
      <c r="P186" s="130">
        <f t="shared" si="36"/>
        <v>0</v>
      </c>
      <c r="Q186" s="131">
        <f t="shared" si="37"/>
        <v>0</v>
      </c>
      <c r="R186" s="578">
        <f t="shared" si="29"/>
        <v>2</v>
      </c>
    </row>
    <row r="187" spans="1:18" s="57" customFormat="1" ht="24.9" customHeight="1" x14ac:dyDescent="0.25">
      <c r="A187" s="533" t="str">
        <f>'Kalk UHR GS Deisenhofen'!A187</f>
        <v>Hort</v>
      </c>
      <c r="B187" s="302" t="str">
        <f>'Kalk UHR GS Deisenhofen'!B187</f>
        <v>EG</v>
      </c>
      <c r="C187" s="302" t="str">
        <f>'Kalk UHR GS Deisenhofen'!C187</f>
        <v>E.D.64a</v>
      </c>
      <c r="D187" s="302" t="str">
        <f>'Kalk UHR GS Deisenhofen'!D187</f>
        <v>Medienraum PC</v>
      </c>
      <c r="E187" s="302" t="str">
        <f>'Kalk UHR GS Deisenhofen'!E187</f>
        <v>PVC</v>
      </c>
      <c r="F187" s="469" t="str">
        <f>'Kalk UHR GS Deisenhofen'!F187</f>
        <v>G1-W5</v>
      </c>
      <c r="G187" s="228" t="str">
        <f t="shared" si="38"/>
        <v>G1-J0,5</v>
      </c>
      <c r="H187" s="127">
        <f>'Kalk UHR GS Deisenhofen'!G187</f>
        <v>10.19</v>
      </c>
      <c r="I187" s="97" t="s">
        <v>909</v>
      </c>
      <c r="J187" s="328">
        <f>VLOOKUP(I187,Turnus!$H$9:$I$26,2,FALSE)</f>
        <v>0.5</v>
      </c>
      <c r="K187" s="127">
        <f t="shared" si="34"/>
        <v>5.0949999999999998</v>
      </c>
      <c r="L187" s="128">
        <f>VLOOKUP($G187,'Leistungswerte GR Kigas'!$C$6:$F$53,4,FALSE)</f>
        <v>0</v>
      </c>
      <c r="M187" s="129">
        <f t="shared" si="28"/>
        <v>0</v>
      </c>
      <c r="N187" s="129">
        <f t="shared" si="35"/>
        <v>0</v>
      </c>
      <c r="O187" s="547">
        <f t="shared" si="6"/>
        <v>0</v>
      </c>
      <c r="P187" s="130">
        <f t="shared" si="36"/>
        <v>0</v>
      </c>
      <c r="Q187" s="131">
        <f t="shared" si="37"/>
        <v>0</v>
      </c>
      <c r="R187" s="578">
        <f t="shared" si="29"/>
        <v>2</v>
      </c>
    </row>
    <row r="188" spans="1:18" s="57" customFormat="1" ht="24.9" customHeight="1" x14ac:dyDescent="0.25">
      <c r="A188" s="533" t="str">
        <f>'Kalk UHR GS Deisenhofen'!A188</f>
        <v>Hort</v>
      </c>
      <c r="B188" s="302" t="str">
        <f>'Kalk UHR GS Deisenhofen'!B188</f>
        <v>EG</v>
      </c>
      <c r="C188" s="302" t="str">
        <f>'Kalk UHR GS Deisenhofen'!C188</f>
        <v>E.D.65</v>
      </c>
      <c r="D188" s="302" t="str">
        <f>'Kalk UHR GS Deisenhofen'!D188</f>
        <v>Gruppenraum</v>
      </c>
      <c r="E188" s="302" t="str">
        <f>'Kalk UHR GS Deisenhofen'!E188</f>
        <v>PVC</v>
      </c>
      <c r="F188" s="469" t="str">
        <f>'Kalk UHR GS Deisenhofen'!F188</f>
        <v>G1-W5</v>
      </c>
      <c r="G188" s="228" t="str">
        <f t="shared" si="38"/>
        <v>G1-J0,5</v>
      </c>
      <c r="H188" s="127">
        <f>'Kalk UHR GS Deisenhofen'!G188</f>
        <v>52.32</v>
      </c>
      <c r="I188" s="97" t="s">
        <v>909</v>
      </c>
      <c r="J188" s="328">
        <f>VLOOKUP(I188,Turnus!$H$9:$I$26,2,FALSE)</f>
        <v>0.5</v>
      </c>
      <c r="K188" s="127">
        <f t="shared" si="34"/>
        <v>26.16</v>
      </c>
      <c r="L188" s="128">
        <f>VLOOKUP($G188,'Leistungswerte GR Kigas'!$C$6:$F$53,4,FALSE)</f>
        <v>0</v>
      </c>
      <c r="M188" s="129">
        <f t="shared" si="28"/>
        <v>0</v>
      </c>
      <c r="N188" s="129">
        <f t="shared" si="35"/>
        <v>0</v>
      </c>
      <c r="O188" s="547">
        <f t="shared" si="6"/>
        <v>0</v>
      </c>
      <c r="P188" s="130">
        <f t="shared" si="36"/>
        <v>0</v>
      </c>
      <c r="Q188" s="131">
        <f t="shared" si="37"/>
        <v>0</v>
      </c>
      <c r="R188" s="578">
        <f t="shared" si="29"/>
        <v>2</v>
      </c>
    </row>
    <row r="189" spans="1:18" s="57" customFormat="1" ht="24.9" customHeight="1" x14ac:dyDescent="0.25">
      <c r="A189" s="533" t="str">
        <f>'Kalk UHR GS Deisenhofen'!A189</f>
        <v>Hort</v>
      </c>
      <c r="B189" s="302" t="str">
        <f>'Kalk UHR GS Deisenhofen'!B189</f>
        <v>EG</v>
      </c>
      <c r="C189" s="302" t="str">
        <f>'Kalk UHR GS Deisenhofen'!C189</f>
        <v>E.D.65a</v>
      </c>
      <c r="D189" s="302" t="str">
        <f>'Kalk UHR GS Deisenhofen'!D189</f>
        <v>Gruppen-Nebenraum</v>
      </c>
      <c r="E189" s="302" t="str">
        <f>'Kalk UHR GS Deisenhofen'!E189</f>
        <v>PVC</v>
      </c>
      <c r="F189" s="469" t="str">
        <f>'Kalk UHR GS Deisenhofen'!F189</f>
        <v>G1-W5</v>
      </c>
      <c r="G189" s="228" t="str">
        <f t="shared" si="38"/>
        <v>G1-J0,5</v>
      </c>
      <c r="H189" s="127">
        <f>'Kalk UHR GS Deisenhofen'!G189</f>
        <v>35.729999999999997</v>
      </c>
      <c r="I189" s="97" t="s">
        <v>909</v>
      </c>
      <c r="J189" s="328">
        <f>VLOOKUP(I189,Turnus!$H$9:$I$26,2,FALSE)</f>
        <v>0.5</v>
      </c>
      <c r="K189" s="127">
        <f t="shared" si="34"/>
        <v>17.864999999999998</v>
      </c>
      <c r="L189" s="128">
        <f>VLOOKUP($G189,'Leistungswerte GR Kigas'!$C$6:$F$53,4,FALSE)</f>
        <v>0</v>
      </c>
      <c r="M189" s="129">
        <f t="shared" si="28"/>
        <v>0</v>
      </c>
      <c r="N189" s="129">
        <f t="shared" si="35"/>
        <v>0</v>
      </c>
      <c r="O189" s="547">
        <f t="shared" si="6"/>
        <v>0</v>
      </c>
      <c r="P189" s="130">
        <f t="shared" si="36"/>
        <v>0</v>
      </c>
      <c r="Q189" s="131">
        <f t="shared" si="37"/>
        <v>0</v>
      </c>
      <c r="R189" s="578">
        <f t="shared" si="29"/>
        <v>2</v>
      </c>
    </row>
    <row r="190" spans="1:18" s="57" customFormat="1" ht="24.9" customHeight="1" x14ac:dyDescent="0.25">
      <c r="A190" s="533" t="str">
        <f>'Kalk UHR GS Deisenhofen'!A190</f>
        <v>Hort</v>
      </c>
      <c r="B190" s="302" t="str">
        <f>'Kalk UHR GS Deisenhofen'!B190</f>
        <v>EG</v>
      </c>
      <c r="C190" s="302" t="str">
        <f>'Kalk UHR GS Deisenhofen'!C190</f>
        <v>E.D.F.19</v>
      </c>
      <c r="D190" s="302" t="str">
        <f>'Kalk UHR GS Deisenhofen'!D190</f>
        <v>Flur</v>
      </c>
      <c r="E190" s="302" t="str">
        <f>'Kalk UHR GS Deisenhofen'!E190</f>
        <v>Linoleum</v>
      </c>
      <c r="F190" s="469" t="str">
        <f>'Kalk UHR GS Deisenhofen'!F190</f>
        <v>F1-W5</v>
      </c>
      <c r="G190" s="228" t="str">
        <f t="shared" si="38"/>
        <v>F1-J0,5</v>
      </c>
      <c r="H190" s="127">
        <f>'Kalk UHR GS Deisenhofen'!G190</f>
        <v>56.27</v>
      </c>
      <c r="I190" s="97" t="s">
        <v>909</v>
      </c>
      <c r="J190" s="328">
        <f>VLOOKUP(I190,Turnus!$H$9:$I$26,2,FALSE)</f>
        <v>0.5</v>
      </c>
      <c r="K190" s="127">
        <f t="shared" si="34"/>
        <v>28.135000000000002</v>
      </c>
      <c r="L190" s="128">
        <f>VLOOKUP($G190,'Leistungswerte GR Kigas'!$C$6:$F$53,4,FALSE)</f>
        <v>0</v>
      </c>
      <c r="M190" s="129">
        <f t="shared" si="28"/>
        <v>0</v>
      </c>
      <c r="N190" s="129">
        <f t="shared" si="35"/>
        <v>0</v>
      </c>
      <c r="O190" s="547">
        <f t="shared" si="6"/>
        <v>0</v>
      </c>
      <c r="P190" s="130">
        <f t="shared" si="36"/>
        <v>0</v>
      </c>
      <c r="Q190" s="131">
        <f t="shared" si="37"/>
        <v>0</v>
      </c>
      <c r="R190" s="578">
        <f t="shared" si="29"/>
        <v>2</v>
      </c>
    </row>
    <row r="191" spans="1:18" s="57" customFormat="1" ht="24.9" customHeight="1" x14ac:dyDescent="0.25">
      <c r="A191" s="470" t="str">
        <f>'Kalk UHR GS Deisenhofen'!A191</f>
        <v>Sporthalle</v>
      </c>
      <c r="B191" s="302" t="str">
        <f>'Kalk UHR GS Deisenhofen'!B191</f>
        <v>UG</v>
      </c>
      <c r="C191" s="302" t="str">
        <f>'Kalk UHR GS Deisenhofen'!C191</f>
        <v>U.A.01</v>
      </c>
      <c r="D191" s="302" t="str">
        <f>'Kalk UHR GS Deisenhofen'!D191</f>
        <v>Sporthalle</v>
      </c>
      <c r="E191" s="302" t="str">
        <f>'Kalk UHR GS Deisenhofen'!E191</f>
        <v>Elastischer Sportboden</v>
      </c>
      <c r="F191" s="469" t="str">
        <f>'Kalk UHR GS Deisenhofen'!F191</f>
        <v>N1-W6</v>
      </c>
      <c r="G191" s="228" t="str">
        <f t="shared" si="38"/>
        <v>N1-J0,5</v>
      </c>
      <c r="H191" s="127">
        <f>'Kalk UHR GS Deisenhofen'!G191</f>
        <v>968</v>
      </c>
      <c r="I191" s="97" t="s">
        <v>909</v>
      </c>
      <c r="J191" s="328">
        <f>VLOOKUP(I191,Turnus!$D$9:$E$26,2,FALSE)</f>
        <v>0.5</v>
      </c>
      <c r="K191" s="127">
        <f t="shared" si="34"/>
        <v>484</v>
      </c>
      <c r="L191" s="128">
        <f>VLOOKUP($G191,'Leistungswerte GR Schulen'!$C$6:$F$53,4,FALSE)</f>
        <v>0</v>
      </c>
      <c r="M191" s="129">
        <f t="shared" si="28"/>
        <v>0</v>
      </c>
      <c r="N191" s="129">
        <f t="shared" si="35"/>
        <v>0</v>
      </c>
      <c r="O191" s="547">
        <f t="shared" si="6"/>
        <v>0</v>
      </c>
      <c r="P191" s="130">
        <f t="shared" si="36"/>
        <v>0</v>
      </c>
      <c r="Q191" s="131">
        <f t="shared" si="37"/>
        <v>0</v>
      </c>
      <c r="R191" s="578">
        <f t="shared" si="29"/>
        <v>1</v>
      </c>
    </row>
    <row r="192" spans="1:18" s="57" customFormat="1" ht="24.9" customHeight="1" x14ac:dyDescent="0.25">
      <c r="A192" s="470" t="str">
        <f>'Kalk UHR GS Deisenhofen'!A192</f>
        <v>Sporthalle</v>
      </c>
      <c r="B192" s="302" t="str">
        <f>'Kalk UHR GS Deisenhofen'!B192</f>
        <v>UG</v>
      </c>
      <c r="C192" s="302" t="str">
        <f>'Kalk UHR GS Deisenhofen'!C192</f>
        <v>U.A.F.01</v>
      </c>
      <c r="D192" s="302" t="str">
        <f>'Kalk UHR GS Deisenhofen'!D192</f>
        <v>Vorraum Garderobe</v>
      </c>
      <c r="E192" s="302" t="str">
        <f>'Kalk UHR GS Deisenhofen'!E192</f>
        <v>Naturstein</v>
      </c>
      <c r="F192" s="469" t="str">
        <f>'Kalk UHR GS Deisenhofen'!F192</f>
        <v>F1-W6</v>
      </c>
      <c r="G192" s="228" t="str">
        <f t="shared" si="38"/>
        <v>F1-J0,5</v>
      </c>
      <c r="H192" s="127">
        <f>'Kalk UHR GS Deisenhofen'!G192</f>
        <v>138.97</v>
      </c>
      <c r="I192" s="97" t="s">
        <v>909</v>
      </c>
      <c r="J192" s="328">
        <f>VLOOKUP(I192,Turnus!$D$9:$E$26,2,FALSE)</f>
        <v>0.5</v>
      </c>
      <c r="K192" s="127">
        <f t="shared" si="34"/>
        <v>69.484999999999999</v>
      </c>
      <c r="L192" s="128">
        <f>VLOOKUP($G192,'Leistungswerte GR Schulen'!$C$6:$F$53,4,FALSE)</f>
        <v>0</v>
      </c>
      <c r="M192" s="129">
        <f t="shared" si="28"/>
        <v>0</v>
      </c>
      <c r="N192" s="129">
        <f t="shared" si="35"/>
        <v>0</v>
      </c>
      <c r="O192" s="547">
        <f t="shared" si="6"/>
        <v>0</v>
      </c>
      <c r="P192" s="130">
        <f t="shared" si="36"/>
        <v>0</v>
      </c>
      <c r="Q192" s="131">
        <f t="shared" si="37"/>
        <v>0</v>
      </c>
      <c r="R192" s="578">
        <f t="shared" si="29"/>
        <v>1</v>
      </c>
    </row>
    <row r="193" spans="1:18" s="57" customFormat="1" ht="24.9" customHeight="1" x14ac:dyDescent="0.25">
      <c r="A193" s="470" t="str">
        <f>'Kalk UHR GS Deisenhofen'!A193</f>
        <v>Sporthalle</v>
      </c>
      <c r="B193" s="302" t="str">
        <f>'Kalk UHR GS Deisenhofen'!B193</f>
        <v>UG</v>
      </c>
      <c r="C193" s="302" t="str">
        <f>'Kalk UHR GS Deisenhofen'!C193</f>
        <v>U.A.T.01</v>
      </c>
      <c r="D193" s="302" t="str">
        <f>'Kalk UHR GS Deisenhofen'!D193</f>
        <v>Treppe</v>
      </c>
      <c r="E193" s="302" t="str">
        <f>'Kalk UHR GS Deisenhofen'!E193</f>
        <v>Naturstein</v>
      </c>
      <c r="F193" s="469" t="str">
        <f>'Kalk UHR GS Deisenhofen'!F193</f>
        <v>F3-W6</v>
      </c>
      <c r="G193" s="228" t="str">
        <f t="shared" si="38"/>
        <v>F3-J0,5</v>
      </c>
      <c r="H193" s="127">
        <f>'Kalk UHR GS Deisenhofen'!G193</f>
        <v>29.12</v>
      </c>
      <c r="I193" s="97" t="s">
        <v>909</v>
      </c>
      <c r="J193" s="328">
        <f>VLOOKUP(I193,Turnus!$D$9:$E$26,2,FALSE)</f>
        <v>0.5</v>
      </c>
      <c r="K193" s="127">
        <f t="shared" si="34"/>
        <v>14.56</v>
      </c>
      <c r="L193" s="128">
        <f>VLOOKUP($G193,'Leistungswerte GR Schulen'!$C$6:$F$53,4,FALSE)</f>
        <v>0</v>
      </c>
      <c r="M193" s="129">
        <f t="shared" si="28"/>
        <v>0</v>
      </c>
      <c r="N193" s="129">
        <f t="shared" si="35"/>
        <v>0</v>
      </c>
      <c r="O193" s="547">
        <f t="shared" si="6"/>
        <v>0</v>
      </c>
      <c r="P193" s="130">
        <f t="shared" si="36"/>
        <v>0</v>
      </c>
      <c r="Q193" s="131">
        <f t="shared" si="37"/>
        <v>0</v>
      </c>
      <c r="R193" s="578">
        <f t="shared" si="29"/>
        <v>1</v>
      </c>
    </row>
    <row r="194" spans="1:18" s="57" customFormat="1" ht="24.9" customHeight="1" x14ac:dyDescent="0.25">
      <c r="A194" s="470" t="str">
        <f>'Kalk UHR GS Deisenhofen'!A194</f>
        <v>Sporthalle</v>
      </c>
      <c r="B194" s="302" t="str">
        <f>'Kalk UHR GS Deisenhofen'!B194</f>
        <v>UG</v>
      </c>
      <c r="C194" s="302" t="str">
        <f>'Kalk UHR GS Deisenhofen'!C194</f>
        <v>U.A.Z.01</v>
      </c>
      <c r="D194" s="302" t="str">
        <f>'Kalk UHR GS Deisenhofen'!D194</f>
        <v>Aufzug (Turnus siehe EG)</v>
      </c>
      <c r="E194" s="302" t="str">
        <f>'Kalk UHR GS Deisenhofen'!E194</f>
        <v>Naturstein</v>
      </c>
      <c r="F194" s="469" t="str">
        <f>'Kalk UHR GS Deisenhofen'!F194</f>
        <v>Z-kR</v>
      </c>
      <c r="G194" s="228" t="str">
        <f t="shared" si="38"/>
        <v>Z--kR</v>
      </c>
      <c r="H194" s="127">
        <f>'Kalk UHR GS Deisenhofen'!G194</f>
        <v>7.92</v>
      </c>
      <c r="I194" s="97" t="s">
        <v>68</v>
      </c>
      <c r="J194" s="328">
        <f>VLOOKUP(I194,Turnus!$D$9:$E$26,2,FALSE)</f>
        <v>0</v>
      </c>
      <c r="K194" s="127">
        <f t="shared" si="34"/>
        <v>0</v>
      </c>
      <c r="L194" s="128">
        <f>VLOOKUP($G194,'Leistungswerte GR Schulen'!$C$6:$F$53,4,FALSE)</f>
        <v>0</v>
      </c>
      <c r="M194" s="129">
        <f t="shared" si="28"/>
        <v>0</v>
      </c>
      <c r="N194" s="129">
        <f t="shared" si="35"/>
        <v>0</v>
      </c>
      <c r="O194" s="547">
        <f t="shared" si="6"/>
        <v>0</v>
      </c>
      <c r="P194" s="130">
        <f t="shared" si="36"/>
        <v>0</v>
      </c>
      <c r="Q194" s="131">
        <f t="shared" si="37"/>
        <v>0</v>
      </c>
      <c r="R194" s="578">
        <f t="shared" si="29"/>
        <v>1</v>
      </c>
    </row>
    <row r="195" spans="1:18" s="57" customFormat="1" ht="24.9" customHeight="1" x14ac:dyDescent="0.25">
      <c r="A195" s="470" t="str">
        <f>'Kalk UHR GS Deisenhofen'!A195</f>
        <v>Sporthalle</v>
      </c>
      <c r="B195" s="302" t="str">
        <f>'Kalk UHR GS Deisenhofen'!B195</f>
        <v>UG</v>
      </c>
      <c r="C195" s="302" t="str">
        <f>'Kalk UHR GS Deisenhofen'!C195</f>
        <v>U.A.01a</v>
      </c>
      <c r="D195" s="302" t="str">
        <f>'Kalk UHR GS Deisenhofen'!D195</f>
        <v>Geräte</v>
      </c>
      <c r="E195" s="302" t="str">
        <f>'Kalk UHR GS Deisenhofen'!E195</f>
        <v>PVC</v>
      </c>
      <c r="F195" s="469" t="str">
        <f>'Kalk UHR GS Deisenhofen'!F195</f>
        <v>L1-J4</v>
      </c>
      <c r="G195" s="228" t="str">
        <f t="shared" si="38"/>
        <v>L1-J0,5</v>
      </c>
      <c r="H195" s="127">
        <f>'Kalk UHR GS Deisenhofen'!G195</f>
        <v>81.599999999999994</v>
      </c>
      <c r="I195" s="97" t="s">
        <v>909</v>
      </c>
      <c r="J195" s="328">
        <f>VLOOKUP(I195,Turnus!$D$9:$E$26,2,FALSE)</f>
        <v>0.5</v>
      </c>
      <c r="K195" s="127">
        <f t="shared" si="34"/>
        <v>40.799999999999997</v>
      </c>
      <c r="L195" s="128">
        <f>VLOOKUP($G195,'Leistungswerte GR Schulen'!$C$6:$F$53,4,FALSE)</f>
        <v>0</v>
      </c>
      <c r="M195" s="129">
        <f t="shared" si="28"/>
        <v>0</v>
      </c>
      <c r="N195" s="129">
        <f t="shared" si="35"/>
        <v>0</v>
      </c>
      <c r="O195" s="547">
        <f t="shared" si="6"/>
        <v>0</v>
      </c>
      <c r="P195" s="130">
        <f t="shared" si="36"/>
        <v>0</v>
      </c>
      <c r="Q195" s="131">
        <f t="shared" si="37"/>
        <v>0</v>
      </c>
      <c r="R195" s="578">
        <f t="shared" si="29"/>
        <v>1</v>
      </c>
    </row>
    <row r="196" spans="1:18" s="57" customFormat="1" ht="24.9" customHeight="1" x14ac:dyDescent="0.25">
      <c r="A196" s="470" t="str">
        <f>'Kalk UHR GS Deisenhofen'!A196</f>
        <v>Sporthalle</v>
      </c>
      <c r="B196" s="302" t="str">
        <f>'Kalk UHR GS Deisenhofen'!B196</f>
        <v>UG</v>
      </c>
      <c r="C196" s="302" t="str">
        <f>'Kalk UHR GS Deisenhofen'!C196</f>
        <v>U.A.01b</v>
      </c>
      <c r="D196" s="302" t="str">
        <f>'Kalk UHR GS Deisenhofen'!D196</f>
        <v>Geräte</v>
      </c>
      <c r="E196" s="302" t="str">
        <f>'Kalk UHR GS Deisenhofen'!E196</f>
        <v>PVC</v>
      </c>
      <c r="F196" s="469" t="str">
        <f>'Kalk UHR GS Deisenhofen'!F196</f>
        <v>L1-J4</v>
      </c>
      <c r="G196" s="228" t="str">
        <f t="shared" si="38"/>
        <v>L1-J0,5</v>
      </c>
      <c r="H196" s="127">
        <f>'Kalk UHR GS Deisenhofen'!G196</f>
        <v>101.8</v>
      </c>
      <c r="I196" s="97" t="s">
        <v>909</v>
      </c>
      <c r="J196" s="328">
        <f>VLOOKUP(I196,Turnus!$D$9:$E$26,2,FALSE)</f>
        <v>0.5</v>
      </c>
      <c r="K196" s="127">
        <f t="shared" si="34"/>
        <v>50.9</v>
      </c>
      <c r="L196" s="128">
        <f>VLOOKUP($G196,'Leistungswerte GR Schulen'!$C$6:$F$53,4,FALSE)</f>
        <v>0</v>
      </c>
      <c r="M196" s="129">
        <f t="shared" si="28"/>
        <v>0</v>
      </c>
      <c r="N196" s="129">
        <f t="shared" si="35"/>
        <v>0</v>
      </c>
      <c r="O196" s="547">
        <f t="shared" si="6"/>
        <v>0</v>
      </c>
      <c r="P196" s="130">
        <f t="shared" si="36"/>
        <v>0</v>
      </c>
      <c r="Q196" s="131">
        <f t="shared" si="37"/>
        <v>0</v>
      </c>
      <c r="R196" s="578">
        <f t="shared" si="29"/>
        <v>1</v>
      </c>
    </row>
    <row r="197" spans="1:18" s="57" customFormat="1" ht="24.9" customHeight="1" x14ac:dyDescent="0.25">
      <c r="A197" s="470" t="str">
        <f>'Kalk UHR GS Deisenhofen'!A197</f>
        <v>Sporthalle</v>
      </c>
      <c r="B197" s="302" t="str">
        <f>'Kalk UHR GS Deisenhofen'!B197</f>
        <v>UG</v>
      </c>
      <c r="C197" s="302" t="str">
        <f>'Kalk UHR GS Deisenhofen'!C197</f>
        <v>U.A.02</v>
      </c>
      <c r="D197" s="302" t="str">
        <f>'Kalk UHR GS Deisenhofen'!D197</f>
        <v>ELT</v>
      </c>
      <c r="E197" s="302" t="str">
        <f>'Kalk UHR GS Deisenhofen'!E197</f>
        <v>Hartbelag</v>
      </c>
      <c r="F197" s="469" t="str">
        <f>'Kalk UHR GS Deisenhofen'!F197</f>
        <v>Z-kR</v>
      </c>
      <c r="G197" s="228" t="str">
        <f t="shared" si="38"/>
        <v>Z--kR</v>
      </c>
      <c r="H197" s="127">
        <f>'Kalk UHR GS Deisenhofen'!G197</f>
        <v>5.04</v>
      </c>
      <c r="I197" s="97" t="s">
        <v>68</v>
      </c>
      <c r="J197" s="328">
        <f>VLOOKUP(I197,Turnus!$D$9:$E$26,2,FALSE)</f>
        <v>0</v>
      </c>
      <c r="K197" s="127">
        <f t="shared" si="34"/>
        <v>0</v>
      </c>
      <c r="L197" s="128">
        <f>VLOOKUP($G197,'Leistungswerte GR Schulen'!$C$6:$F$53,4,FALSE)</f>
        <v>0</v>
      </c>
      <c r="M197" s="129">
        <f t="shared" si="28"/>
        <v>0</v>
      </c>
      <c r="N197" s="129">
        <f t="shared" si="35"/>
        <v>0</v>
      </c>
      <c r="O197" s="547">
        <f t="shared" si="6"/>
        <v>0</v>
      </c>
      <c r="P197" s="130">
        <f t="shared" si="36"/>
        <v>0</v>
      </c>
      <c r="Q197" s="131">
        <f t="shared" si="37"/>
        <v>0</v>
      </c>
      <c r="R197" s="578">
        <f t="shared" si="29"/>
        <v>1</v>
      </c>
    </row>
    <row r="198" spans="1:18" s="57" customFormat="1" ht="24.9" customHeight="1" x14ac:dyDescent="0.25">
      <c r="A198" s="470" t="str">
        <f>'Kalk UHR GS Deisenhofen'!A198</f>
        <v>Sporthalle</v>
      </c>
      <c r="B198" s="302" t="str">
        <f>'Kalk UHR GS Deisenhofen'!B198</f>
        <v>UG</v>
      </c>
      <c r="C198" s="302" t="str">
        <f>'Kalk UHR GS Deisenhofen'!C198</f>
        <v>U.A.02a</v>
      </c>
      <c r="D198" s="302" t="str">
        <f>'Kalk UHR GS Deisenhofen'!D198</f>
        <v>Aufzugmaschinenraum</v>
      </c>
      <c r="E198" s="302" t="str">
        <f>'Kalk UHR GS Deisenhofen'!E198</f>
        <v>Hartbelag</v>
      </c>
      <c r="F198" s="469" t="str">
        <f>'Kalk UHR GS Deisenhofen'!F198</f>
        <v>Z-kR</v>
      </c>
      <c r="G198" s="228" t="str">
        <f t="shared" si="38"/>
        <v>Z--kR</v>
      </c>
      <c r="H198" s="127">
        <f>'Kalk UHR GS Deisenhofen'!G198</f>
        <v>5.04</v>
      </c>
      <c r="I198" s="97" t="s">
        <v>68</v>
      </c>
      <c r="J198" s="328">
        <f>VLOOKUP(I198,Turnus!$D$9:$E$26,2,FALSE)</f>
        <v>0</v>
      </c>
      <c r="K198" s="127">
        <f t="shared" si="34"/>
        <v>0</v>
      </c>
      <c r="L198" s="128">
        <f>VLOOKUP($G198,'Leistungswerte GR Schulen'!$C$6:$F$53,4,FALSE)</f>
        <v>0</v>
      </c>
      <c r="M198" s="129">
        <f t="shared" si="28"/>
        <v>0</v>
      </c>
      <c r="N198" s="129">
        <f t="shared" si="35"/>
        <v>0</v>
      </c>
      <c r="O198" s="547">
        <f t="shared" si="6"/>
        <v>0</v>
      </c>
      <c r="P198" s="130">
        <f t="shared" si="36"/>
        <v>0</v>
      </c>
      <c r="Q198" s="131">
        <f t="shared" si="37"/>
        <v>0</v>
      </c>
      <c r="R198" s="578">
        <f t="shared" si="29"/>
        <v>1</v>
      </c>
    </row>
    <row r="199" spans="1:18" s="57" customFormat="1" ht="24.9" customHeight="1" x14ac:dyDescent="0.25">
      <c r="A199" s="470" t="str">
        <f>'Kalk UHR GS Deisenhofen'!A199</f>
        <v>Sporthalle</v>
      </c>
      <c r="B199" s="302" t="str">
        <f>'Kalk UHR GS Deisenhofen'!B199</f>
        <v>UG</v>
      </c>
      <c r="C199" s="302" t="str">
        <f>'Kalk UHR GS Deisenhofen'!C199</f>
        <v>U.A.03</v>
      </c>
      <c r="D199" s="302" t="str">
        <f>'Kalk UHR GS Deisenhofen'!D199</f>
        <v>Regie</v>
      </c>
      <c r="E199" s="302" t="str">
        <f>'Kalk UHR GS Deisenhofen'!E199</f>
        <v>PVC</v>
      </c>
      <c r="F199" s="469" t="str">
        <f>'Kalk UHR GS Deisenhofen'!F199</f>
        <v>B1-W1</v>
      </c>
      <c r="G199" s="228" t="str">
        <f t="shared" si="38"/>
        <v>B1-J0,5</v>
      </c>
      <c r="H199" s="127">
        <f>'Kalk UHR GS Deisenhofen'!G199</f>
        <v>20.420000000000002</v>
      </c>
      <c r="I199" s="97" t="s">
        <v>909</v>
      </c>
      <c r="J199" s="328">
        <f>VLOOKUP(I199,Turnus!$D$9:$E$26,2,FALSE)</f>
        <v>0.5</v>
      </c>
      <c r="K199" s="127">
        <f t="shared" si="34"/>
        <v>10.210000000000001</v>
      </c>
      <c r="L199" s="128">
        <f>VLOOKUP($G199,'Leistungswerte GR Schulen'!$C$6:$F$53,4,FALSE)</f>
        <v>0</v>
      </c>
      <c r="M199" s="129">
        <f t="shared" si="28"/>
        <v>0</v>
      </c>
      <c r="N199" s="129">
        <f t="shared" si="35"/>
        <v>0</v>
      </c>
      <c r="O199" s="547">
        <f t="shared" si="6"/>
        <v>0</v>
      </c>
      <c r="P199" s="130">
        <f t="shared" si="36"/>
        <v>0</v>
      </c>
      <c r="Q199" s="131">
        <f t="shared" si="37"/>
        <v>0</v>
      </c>
      <c r="R199" s="578">
        <f t="shared" si="29"/>
        <v>1</v>
      </c>
    </row>
    <row r="200" spans="1:18" s="57" customFormat="1" ht="24.9" customHeight="1" x14ac:dyDescent="0.25">
      <c r="A200" s="470" t="str">
        <f>'Kalk UHR GS Deisenhofen'!A200</f>
        <v>Sporthalle</v>
      </c>
      <c r="B200" s="302" t="str">
        <f>'Kalk UHR GS Deisenhofen'!B200</f>
        <v>UG</v>
      </c>
      <c r="C200" s="302" t="str">
        <f>'Kalk UHR GS Deisenhofen'!C200</f>
        <v>U.A.04</v>
      </c>
      <c r="D200" s="302" t="str">
        <f>'Kalk UHR GS Deisenhofen'!D200</f>
        <v>Lager</v>
      </c>
      <c r="E200" s="302" t="str">
        <f>'Kalk UHR GS Deisenhofen'!E200</f>
        <v>Hartbelag</v>
      </c>
      <c r="F200" s="469" t="str">
        <f>'Kalk UHR GS Deisenhofen'!F200</f>
        <v>Z-kR</v>
      </c>
      <c r="G200" s="228" t="str">
        <f t="shared" si="38"/>
        <v>Z--kR</v>
      </c>
      <c r="H200" s="127">
        <f>'Kalk UHR GS Deisenhofen'!G200</f>
        <v>4.07</v>
      </c>
      <c r="I200" s="97" t="s">
        <v>68</v>
      </c>
      <c r="J200" s="328">
        <f>VLOOKUP(I200,Turnus!$D$9:$E$26,2,FALSE)</f>
        <v>0</v>
      </c>
      <c r="K200" s="127">
        <f t="shared" si="34"/>
        <v>0</v>
      </c>
      <c r="L200" s="128">
        <f>VLOOKUP($G200,'Leistungswerte GR Schulen'!$C$6:$F$53,4,FALSE)</f>
        <v>0</v>
      </c>
      <c r="M200" s="129">
        <f t="shared" si="28"/>
        <v>0</v>
      </c>
      <c r="N200" s="129">
        <f t="shared" si="35"/>
        <v>0</v>
      </c>
      <c r="O200" s="547">
        <f t="shared" si="6"/>
        <v>0</v>
      </c>
      <c r="P200" s="130">
        <f t="shared" si="36"/>
        <v>0</v>
      </c>
      <c r="Q200" s="131">
        <f t="shared" si="37"/>
        <v>0</v>
      </c>
      <c r="R200" s="578">
        <f t="shared" si="29"/>
        <v>1</v>
      </c>
    </row>
    <row r="201" spans="1:18" s="57" customFormat="1" ht="24.9" customHeight="1" x14ac:dyDescent="0.25">
      <c r="A201" s="470" t="str">
        <f>'Kalk UHR GS Deisenhofen'!A201</f>
        <v>Sporthalle</v>
      </c>
      <c r="B201" s="302" t="str">
        <f>'Kalk UHR GS Deisenhofen'!B201</f>
        <v>UG</v>
      </c>
      <c r="C201" s="302" t="str">
        <f>'Kalk UHR GS Deisenhofen'!C201</f>
        <v>U.A.05</v>
      </c>
      <c r="D201" s="302" t="str">
        <f>'Kalk UHR GS Deisenhofen'!D201</f>
        <v>ELT</v>
      </c>
      <c r="E201" s="302" t="str">
        <f>'Kalk UHR GS Deisenhofen'!E201</f>
        <v>Hartbelag</v>
      </c>
      <c r="F201" s="469" t="str">
        <f>'Kalk UHR GS Deisenhofen'!F201</f>
        <v>Z-kR</v>
      </c>
      <c r="G201" s="228" t="str">
        <f t="shared" si="38"/>
        <v>Z--kR</v>
      </c>
      <c r="H201" s="127">
        <f>'Kalk UHR GS Deisenhofen'!G201</f>
        <v>7.26</v>
      </c>
      <c r="I201" s="97" t="s">
        <v>68</v>
      </c>
      <c r="J201" s="328">
        <f>VLOOKUP(I201,Turnus!$D$9:$E$26,2,FALSE)</f>
        <v>0</v>
      </c>
      <c r="K201" s="127">
        <f t="shared" si="34"/>
        <v>0</v>
      </c>
      <c r="L201" s="128">
        <f>VLOOKUP($G201,'Leistungswerte GR Schulen'!$C$6:$F$53,4,FALSE)</f>
        <v>0</v>
      </c>
      <c r="M201" s="129">
        <f t="shared" ref="M201:M251" si="39">IF(ISERROR(H201/L201),0,H201/L201)</f>
        <v>0</v>
      </c>
      <c r="N201" s="129">
        <f t="shared" si="35"/>
        <v>0</v>
      </c>
      <c r="O201" s="547">
        <f t="shared" si="6"/>
        <v>0</v>
      </c>
      <c r="P201" s="130">
        <f t="shared" si="36"/>
        <v>0</v>
      </c>
      <c r="Q201" s="131">
        <f t="shared" si="37"/>
        <v>0</v>
      </c>
      <c r="R201" s="578">
        <f t="shared" ref="R201:R251" si="40">IF(A201="Schule",1,IF(A201="Sporthalle",1,2))</f>
        <v>1</v>
      </c>
    </row>
    <row r="202" spans="1:18" s="57" customFormat="1" ht="24.9" customHeight="1" x14ac:dyDescent="0.25">
      <c r="A202" s="470" t="str">
        <f>'Kalk UHR GS Deisenhofen'!A202</f>
        <v>Sporthalle</v>
      </c>
      <c r="B202" s="302" t="str">
        <f>'Kalk UHR GS Deisenhofen'!B202</f>
        <v>UG</v>
      </c>
      <c r="C202" s="302" t="str">
        <f>'Kalk UHR GS Deisenhofen'!C202</f>
        <v>U.A.F.02</v>
      </c>
      <c r="D202" s="302" t="str">
        <f>'Kalk UHR GS Deisenhofen'!D202</f>
        <v>Flur</v>
      </c>
      <c r="E202" s="302" t="str">
        <f>'Kalk UHR GS Deisenhofen'!E202</f>
        <v>Linoleum</v>
      </c>
      <c r="F202" s="469" t="str">
        <f>'Kalk UHR GS Deisenhofen'!F202</f>
        <v>F1-W6</v>
      </c>
      <c r="G202" s="228" t="str">
        <f t="shared" si="38"/>
        <v>F1-J0,5</v>
      </c>
      <c r="H202" s="127">
        <f>'Kalk UHR GS Deisenhofen'!G202</f>
        <v>8.66</v>
      </c>
      <c r="I202" s="97" t="s">
        <v>909</v>
      </c>
      <c r="J202" s="328">
        <f>VLOOKUP(I202,Turnus!$D$9:$E$26,2,FALSE)</f>
        <v>0.5</v>
      </c>
      <c r="K202" s="127">
        <f t="shared" si="34"/>
        <v>4.33</v>
      </c>
      <c r="L202" s="128">
        <f>VLOOKUP($G202,'Leistungswerte GR Schulen'!$C$6:$F$53,4,FALSE)</f>
        <v>0</v>
      </c>
      <c r="M202" s="129">
        <f t="shared" si="39"/>
        <v>0</v>
      </c>
      <c r="N202" s="129">
        <f t="shared" si="35"/>
        <v>0</v>
      </c>
      <c r="O202" s="547">
        <f t="shared" si="6"/>
        <v>0</v>
      </c>
      <c r="P202" s="130">
        <f t="shared" si="36"/>
        <v>0</v>
      </c>
      <c r="Q202" s="131">
        <f t="shared" si="37"/>
        <v>0</v>
      </c>
      <c r="R202" s="578">
        <f t="shared" si="40"/>
        <v>1</v>
      </c>
    </row>
    <row r="203" spans="1:18" s="57" customFormat="1" ht="24.9" customHeight="1" x14ac:dyDescent="0.25">
      <c r="A203" s="470" t="str">
        <f>'Kalk UHR GS Deisenhofen'!A203</f>
        <v>Sporthalle</v>
      </c>
      <c r="B203" s="302" t="str">
        <f>'Kalk UHR GS Deisenhofen'!B203</f>
        <v>UG</v>
      </c>
      <c r="C203" s="302" t="str">
        <f>'Kalk UHR GS Deisenhofen'!C203</f>
        <v>U.A.F.03</v>
      </c>
      <c r="D203" s="302" t="str">
        <f>'Kalk UHR GS Deisenhofen'!D203</f>
        <v>Flur</v>
      </c>
      <c r="E203" s="302" t="str">
        <f>'Kalk UHR GS Deisenhofen'!E203</f>
        <v>Linoleum</v>
      </c>
      <c r="F203" s="469" t="str">
        <f>'Kalk UHR GS Deisenhofen'!F203</f>
        <v>F1-W6</v>
      </c>
      <c r="G203" s="228" t="str">
        <f t="shared" si="38"/>
        <v>F1-J0,5</v>
      </c>
      <c r="H203" s="127">
        <f>'Kalk UHR GS Deisenhofen'!G203</f>
        <v>35.51</v>
      </c>
      <c r="I203" s="97" t="s">
        <v>909</v>
      </c>
      <c r="J203" s="328">
        <f>VLOOKUP(I203,Turnus!$D$9:$E$26,2,FALSE)</f>
        <v>0.5</v>
      </c>
      <c r="K203" s="127">
        <f t="shared" si="34"/>
        <v>17.754999999999999</v>
      </c>
      <c r="L203" s="128">
        <f>VLOOKUP($G203,'Leistungswerte GR Schulen'!$C$6:$F$53,4,FALSE)</f>
        <v>0</v>
      </c>
      <c r="M203" s="129">
        <f t="shared" si="39"/>
        <v>0</v>
      </c>
      <c r="N203" s="129">
        <f t="shared" si="35"/>
        <v>0</v>
      </c>
      <c r="O203" s="547">
        <f t="shared" si="6"/>
        <v>0</v>
      </c>
      <c r="P203" s="130">
        <f t="shared" si="36"/>
        <v>0</v>
      </c>
      <c r="Q203" s="131">
        <f t="shared" si="37"/>
        <v>0</v>
      </c>
      <c r="R203" s="578">
        <f t="shared" si="40"/>
        <v>1</v>
      </c>
    </row>
    <row r="204" spans="1:18" s="57" customFormat="1" ht="24.9" customHeight="1" x14ac:dyDescent="0.25">
      <c r="A204" s="470" t="str">
        <f>'Kalk UHR GS Deisenhofen'!A204</f>
        <v>Sporthalle</v>
      </c>
      <c r="B204" s="302" t="str">
        <f>'Kalk UHR GS Deisenhofen'!B204</f>
        <v>UG</v>
      </c>
      <c r="C204" s="302" t="str">
        <f>'Kalk UHR GS Deisenhofen'!C204</f>
        <v>U.A.06</v>
      </c>
      <c r="D204" s="302" t="str">
        <f>'Kalk UHR GS Deisenhofen'!D204</f>
        <v>WC-Mädchen</v>
      </c>
      <c r="E204" s="302" t="str">
        <f>'Kalk UHR GS Deisenhofen'!E204</f>
        <v>Fliesen</v>
      </c>
      <c r="F204" s="469" t="str">
        <f>'Kalk UHR GS Deisenhofen'!F204</f>
        <v>S1-W6</v>
      </c>
      <c r="G204" s="228" t="str">
        <f t="shared" si="38"/>
        <v>S1-J1</v>
      </c>
      <c r="H204" s="127">
        <f>'Kalk UHR GS Deisenhofen'!G204</f>
        <v>22.91</v>
      </c>
      <c r="I204" s="97" t="s">
        <v>54</v>
      </c>
      <c r="J204" s="328">
        <f>VLOOKUP(I204,Turnus!$D$9:$E$26,2,FALSE)</f>
        <v>1</v>
      </c>
      <c r="K204" s="127">
        <f t="shared" si="34"/>
        <v>22.91</v>
      </c>
      <c r="L204" s="128">
        <f>VLOOKUP($G204,'Leistungswerte GR Schulen'!$C$6:$F$53,4,FALSE)</f>
        <v>0</v>
      </c>
      <c r="M204" s="129">
        <f t="shared" si="39"/>
        <v>0</v>
      </c>
      <c r="N204" s="129">
        <f t="shared" si="35"/>
        <v>0</v>
      </c>
      <c r="O204" s="547">
        <f t="shared" si="6"/>
        <v>0</v>
      </c>
      <c r="P204" s="130">
        <f t="shared" si="36"/>
        <v>0</v>
      </c>
      <c r="Q204" s="131">
        <f t="shared" si="37"/>
        <v>0</v>
      </c>
      <c r="R204" s="578">
        <f t="shared" si="40"/>
        <v>1</v>
      </c>
    </row>
    <row r="205" spans="1:18" s="57" customFormat="1" ht="24.9" customHeight="1" x14ac:dyDescent="0.25">
      <c r="A205" s="470" t="str">
        <f>'Kalk UHR GS Deisenhofen'!A205</f>
        <v>Sporthalle</v>
      </c>
      <c r="B205" s="302" t="str">
        <f>'Kalk UHR GS Deisenhofen'!B205</f>
        <v>UG</v>
      </c>
      <c r="C205" s="302" t="str">
        <f>'Kalk UHR GS Deisenhofen'!C205</f>
        <v>U.A.07</v>
      </c>
      <c r="D205" s="302" t="str">
        <f>'Kalk UHR GS Deisenhofen'!D205</f>
        <v>WC-Behinderte</v>
      </c>
      <c r="E205" s="302" t="str">
        <f>'Kalk UHR GS Deisenhofen'!E205</f>
        <v>Fliesen</v>
      </c>
      <c r="F205" s="469" t="str">
        <f>'Kalk UHR GS Deisenhofen'!F205</f>
        <v>S1-W6</v>
      </c>
      <c r="G205" s="228" t="str">
        <f t="shared" si="38"/>
        <v>S1-J1</v>
      </c>
      <c r="H205" s="127">
        <f>'Kalk UHR GS Deisenhofen'!G205</f>
        <v>6.67</v>
      </c>
      <c r="I205" s="97" t="s">
        <v>54</v>
      </c>
      <c r="J205" s="328">
        <f>VLOOKUP(I205,Turnus!$D$9:$E$26,2,FALSE)</f>
        <v>1</v>
      </c>
      <c r="K205" s="127">
        <f t="shared" si="34"/>
        <v>6.67</v>
      </c>
      <c r="L205" s="128">
        <f>VLOOKUP($G205,'Leistungswerte GR Schulen'!$C$6:$F$53,4,FALSE)</f>
        <v>0</v>
      </c>
      <c r="M205" s="129">
        <f t="shared" si="39"/>
        <v>0</v>
      </c>
      <c r="N205" s="129">
        <f t="shared" si="35"/>
        <v>0</v>
      </c>
      <c r="O205" s="547">
        <f t="shared" si="6"/>
        <v>0</v>
      </c>
      <c r="P205" s="130">
        <f t="shared" si="36"/>
        <v>0</v>
      </c>
      <c r="Q205" s="131">
        <f t="shared" si="37"/>
        <v>0</v>
      </c>
      <c r="R205" s="578">
        <f t="shared" si="40"/>
        <v>1</v>
      </c>
    </row>
    <row r="206" spans="1:18" s="57" customFormat="1" ht="24.9" customHeight="1" x14ac:dyDescent="0.25">
      <c r="A206" s="470" t="str">
        <f>'Kalk UHR GS Deisenhofen'!A206</f>
        <v>Sporthalle</v>
      </c>
      <c r="B206" s="302" t="str">
        <f>'Kalk UHR GS Deisenhofen'!B206</f>
        <v>UG</v>
      </c>
      <c r="C206" s="302" t="str">
        <f>'Kalk UHR GS Deisenhofen'!C206</f>
        <v>U.A.08</v>
      </c>
      <c r="D206" s="302" t="str">
        <f>'Kalk UHR GS Deisenhofen'!D206</f>
        <v>WC-Jungen</v>
      </c>
      <c r="E206" s="302" t="str">
        <f>'Kalk UHR GS Deisenhofen'!E206</f>
        <v>Fliesen</v>
      </c>
      <c r="F206" s="469" t="str">
        <f>'Kalk UHR GS Deisenhofen'!F206</f>
        <v>S1-W6</v>
      </c>
      <c r="G206" s="228" t="str">
        <f t="shared" si="38"/>
        <v>S1-J1</v>
      </c>
      <c r="H206" s="127">
        <f>'Kalk UHR GS Deisenhofen'!G206</f>
        <v>18.940000000000001</v>
      </c>
      <c r="I206" s="97" t="s">
        <v>54</v>
      </c>
      <c r="J206" s="328">
        <f>VLOOKUP(I206,Turnus!$D$9:$E$26,2,FALSE)</f>
        <v>1</v>
      </c>
      <c r="K206" s="127">
        <f t="shared" si="34"/>
        <v>18.940000000000001</v>
      </c>
      <c r="L206" s="128">
        <f>VLOOKUP($G206,'Leistungswerte GR Schulen'!$C$6:$F$53,4,FALSE)</f>
        <v>0</v>
      </c>
      <c r="M206" s="129">
        <f t="shared" si="39"/>
        <v>0</v>
      </c>
      <c r="N206" s="129">
        <f t="shared" si="35"/>
        <v>0</v>
      </c>
      <c r="O206" s="547">
        <f t="shared" si="6"/>
        <v>0</v>
      </c>
      <c r="P206" s="130">
        <f t="shared" si="36"/>
        <v>0</v>
      </c>
      <c r="Q206" s="131">
        <f t="shared" si="37"/>
        <v>0</v>
      </c>
      <c r="R206" s="578">
        <f t="shared" si="40"/>
        <v>1</v>
      </c>
    </row>
    <row r="207" spans="1:18" s="57" customFormat="1" ht="24.9" customHeight="1" x14ac:dyDescent="0.25">
      <c r="A207" s="470" t="str">
        <f>'Kalk UHR GS Deisenhofen'!A207</f>
        <v>Sporthalle</v>
      </c>
      <c r="B207" s="302" t="str">
        <f>'Kalk UHR GS Deisenhofen'!B207</f>
        <v>UG</v>
      </c>
      <c r="C207" s="302" t="str">
        <f>'Kalk UHR GS Deisenhofen'!C207</f>
        <v>U.A.09</v>
      </c>
      <c r="D207" s="302" t="str">
        <f>'Kalk UHR GS Deisenhofen'!D207</f>
        <v>Umkleide</v>
      </c>
      <c r="E207" s="302" t="str">
        <f>'Kalk UHR GS Deisenhofen'!E207</f>
        <v>Linoleum</v>
      </c>
      <c r="F207" s="469" t="str">
        <f>'Kalk UHR GS Deisenhofen'!F207</f>
        <v>H1-W6</v>
      </c>
      <c r="G207" s="228" t="str">
        <f t="shared" si="38"/>
        <v>H1-J0,5</v>
      </c>
      <c r="H207" s="127">
        <f>'Kalk UHR GS Deisenhofen'!G207</f>
        <v>27</v>
      </c>
      <c r="I207" s="97" t="s">
        <v>909</v>
      </c>
      <c r="J207" s="328">
        <f>VLOOKUP(I207,Turnus!$D$9:$E$26,2,FALSE)</f>
        <v>0.5</v>
      </c>
      <c r="K207" s="127">
        <f t="shared" si="34"/>
        <v>13.5</v>
      </c>
      <c r="L207" s="128">
        <f>VLOOKUP($G207,'Leistungswerte GR Schulen'!$C$6:$F$53,4,FALSE)</f>
        <v>0</v>
      </c>
      <c r="M207" s="129">
        <f t="shared" si="39"/>
        <v>0</v>
      </c>
      <c r="N207" s="129">
        <f t="shared" si="35"/>
        <v>0</v>
      </c>
      <c r="O207" s="547">
        <f t="shared" si="6"/>
        <v>0</v>
      </c>
      <c r="P207" s="130">
        <f t="shared" si="36"/>
        <v>0</v>
      </c>
      <c r="Q207" s="131">
        <f t="shared" si="37"/>
        <v>0</v>
      </c>
      <c r="R207" s="578">
        <f t="shared" si="40"/>
        <v>1</v>
      </c>
    </row>
    <row r="208" spans="1:18" s="57" customFormat="1" ht="24.9" customHeight="1" x14ac:dyDescent="0.25">
      <c r="A208" s="470" t="str">
        <f>'Kalk UHR GS Deisenhofen'!A208</f>
        <v>Sporthalle</v>
      </c>
      <c r="B208" s="302" t="str">
        <f>'Kalk UHR GS Deisenhofen'!B208</f>
        <v>UG</v>
      </c>
      <c r="C208" s="302" t="str">
        <f>'Kalk UHR GS Deisenhofen'!C208</f>
        <v>U.A.09a</v>
      </c>
      <c r="D208" s="302" t="str">
        <f>'Kalk UHR GS Deisenhofen'!D208</f>
        <v>Dusche</v>
      </c>
      <c r="E208" s="302" t="str">
        <f>'Kalk UHR GS Deisenhofen'!E208</f>
        <v>Fliesen</v>
      </c>
      <c r="F208" s="469" t="str">
        <f>'Kalk UHR GS Deisenhofen'!F208</f>
        <v>D1-W6</v>
      </c>
      <c r="G208" s="228" t="str">
        <f t="shared" si="38"/>
        <v>D1-J1</v>
      </c>
      <c r="H208" s="127">
        <f>'Kalk UHR GS Deisenhofen'!G208</f>
        <v>21.65</v>
      </c>
      <c r="I208" s="97" t="s">
        <v>54</v>
      </c>
      <c r="J208" s="328">
        <f>VLOOKUP(I208,Turnus!$D$9:$E$26,2,FALSE)</f>
        <v>1</v>
      </c>
      <c r="K208" s="127">
        <f t="shared" si="34"/>
        <v>21.65</v>
      </c>
      <c r="L208" s="128">
        <f>VLOOKUP($G208,'Leistungswerte GR Schulen'!$C$6:$F$53,4,FALSE)</f>
        <v>0</v>
      </c>
      <c r="M208" s="129">
        <f t="shared" si="39"/>
        <v>0</v>
      </c>
      <c r="N208" s="129">
        <f t="shared" si="35"/>
        <v>0</v>
      </c>
      <c r="O208" s="547">
        <f t="shared" si="6"/>
        <v>0</v>
      </c>
      <c r="P208" s="130">
        <f t="shared" si="36"/>
        <v>0</v>
      </c>
      <c r="Q208" s="131">
        <f t="shared" si="37"/>
        <v>0</v>
      </c>
      <c r="R208" s="578">
        <f t="shared" si="40"/>
        <v>1</v>
      </c>
    </row>
    <row r="209" spans="1:18" s="57" customFormat="1" ht="24.9" customHeight="1" x14ac:dyDescent="0.25">
      <c r="A209" s="470" t="str">
        <f>'Kalk UHR GS Deisenhofen'!A209</f>
        <v>Sporthalle</v>
      </c>
      <c r="B209" s="302" t="str">
        <f>'Kalk UHR GS Deisenhofen'!B209</f>
        <v>UG</v>
      </c>
      <c r="C209" s="302" t="str">
        <f>'Kalk UHR GS Deisenhofen'!C209</f>
        <v>U.A.09b</v>
      </c>
      <c r="D209" s="302" t="str">
        <f>'Kalk UHR GS Deisenhofen'!D209</f>
        <v>WC</v>
      </c>
      <c r="E209" s="302" t="str">
        <f>'Kalk UHR GS Deisenhofen'!E209</f>
        <v>Fliesen</v>
      </c>
      <c r="F209" s="469" t="str">
        <f>'Kalk UHR GS Deisenhofen'!F209</f>
        <v>S1-W6</v>
      </c>
      <c r="G209" s="228" t="str">
        <f t="shared" si="38"/>
        <v>S1-J1</v>
      </c>
      <c r="H209" s="127">
        <f>'Kalk UHR GS Deisenhofen'!G209</f>
        <v>1.85</v>
      </c>
      <c r="I209" s="97" t="s">
        <v>54</v>
      </c>
      <c r="J209" s="328">
        <f>VLOOKUP(I209,Turnus!$D$9:$E$26,2,FALSE)</f>
        <v>1</v>
      </c>
      <c r="K209" s="127">
        <f t="shared" si="34"/>
        <v>1.85</v>
      </c>
      <c r="L209" s="128">
        <f>VLOOKUP($G209,'Leistungswerte GR Schulen'!$C$6:$F$53,4,FALSE)</f>
        <v>0</v>
      </c>
      <c r="M209" s="129">
        <f t="shared" si="39"/>
        <v>0</v>
      </c>
      <c r="N209" s="129">
        <f t="shared" si="35"/>
        <v>0</v>
      </c>
      <c r="O209" s="547">
        <f t="shared" si="6"/>
        <v>0</v>
      </c>
      <c r="P209" s="130">
        <f t="shared" si="36"/>
        <v>0</v>
      </c>
      <c r="Q209" s="131">
        <f t="shared" si="37"/>
        <v>0</v>
      </c>
      <c r="R209" s="578">
        <f t="shared" si="40"/>
        <v>1</v>
      </c>
    </row>
    <row r="210" spans="1:18" s="57" customFormat="1" ht="24.9" customHeight="1" x14ac:dyDescent="0.25">
      <c r="A210" s="470" t="str">
        <f>'Kalk UHR GS Deisenhofen'!A210</f>
        <v>Sporthalle</v>
      </c>
      <c r="B210" s="302" t="str">
        <f>'Kalk UHR GS Deisenhofen'!B210</f>
        <v>UG</v>
      </c>
      <c r="C210" s="302" t="str">
        <f>'Kalk UHR GS Deisenhofen'!C210</f>
        <v>U.A.09c</v>
      </c>
      <c r="D210" s="302" t="str">
        <f>'Kalk UHR GS Deisenhofen'!D210</f>
        <v>WC</v>
      </c>
      <c r="E210" s="302" t="str">
        <f>'Kalk UHR GS Deisenhofen'!E210</f>
        <v>Fliesen</v>
      </c>
      <c r="F210" s="469" t="str">
        <f>'Kalk UHR GS Deisenhofen'!F210</f>
        <v>S1-W6</v>
      </c>
      <c r="G210" s="228" t="str">
        <f t="shared" si="38"/>
        <v>S1-J1</v>
      </c>
      <c r="H210" s="127">
        <f>'Kalk UHR GS Deisenhofen'!G210</f>
        <v>1.85</v>
      </c>
      <c r="I210" s="97" t="s">
        <v>54</v>
      </c>
      <c r="J210" s="328">
        <f>VLOOKUP(I210,Turnus!$D$9:$E$26,2,FALSE)</f>
        <v>1</v>
      </c>
      <c r="K210" s="127">
        <f t="shared" si="34"/>
        <v>1.85</v>
      </c>
      <c r="L210" s="128">
        <f>VLOOKUP($G210,'Leistungswerte GR Schulen'!$C$6:$F$53,4,FALSE)</f>
        <v>0</v>
      </c>
      <c r="M210" s="129">
        <f t="shared" si="39"/>
        <v>0</v>
      </c>
      <c r="N210" s="129">
        <f t="shared" si="35"/>
        <v>0</v>
      </c>
      <c r="O210" s="547">
        <f t="shared" si="6"/>
        <v>0</v>
      </c>
      <c r="P210" s="130">
        <f t="shared" si="36"/>
        <v>0</v>
      </c>
      <c r="Q210" s="131">
        <f t="shared" si="37"/>
        <v>0</v>
      </c>
      <c r="R210" s="578">
        <f t="shared" si="40"/>
        <v>1</v>
      </c>
    </row>
    <row r="211" spans="1:18" s="57" customFormat="1" ht="24.9" customHeight="1" x14ac:dyDescent="0.25">
      <c r="A211" s="470" t="str">
        <f>'Kalk UHR GS Deisenhofen'!A211</f>
        <v>Sporthalle</v>
      </c>
      <c r="B211" s="302" t="str">
        <f>'Kalk UHR GS Deisenhofen'!B211</f>
        <v>UG</v>
      </c>
      <c r="C211" s="302" t="str">
        <f>'Kalk UHR GS Deisenhofen'!C211</f>
        <v>U.A.10</v>
      </c>
      <c r="D211" s="302" t="str">
        <f>'Kalk UHR GS Deisenhofen'!D211</f>
        <v>Umkleide</v>
      </c>
      <c r="E211" s="302" t="str">
        <f>'Kalk UHR GS Deisenhofen'!E211</f>
        <v>Linoleum</v>
      </c>
      <c r="F211" s="469" t="str">
        <f>'Kalk UHR GS Deisenhofen'!F211</f>
        <v>H1-W6</v>
      </c>
      <c r="G211" s="228" t="str">
        <f t="shared" si="38"/>
        <v>H1-J0,5</v>
      </c>
      <c r="H211" s="127">
        <f>'Kalk UHR GS Deisenhofen'!G211</f>
        <v>27</v>
      </c>
      <c r="I211" s="97" t="s">
        <v>909</v>
      </c>
      <c r="J211" s="328">
        <f>VLOOKUP(I211,Turnus!$D$9:$E$26,2,FALSE)</f>
        <v>0.5</v>
      </c>
      <c r="K211" s="127">
        <f t="shared" si="24"/>
        <v>13.5</v>
      </c>
      <c r="L211" s="128">
        <f>VLOOKUP($G211,'Leistungswerte GR Schulen'!$C$6:$F$53,4,FALSE)</f>
        <v>0</v>
      </c>
      <c r="M211" s="129">
        <f t="shared" si="39"/>
        <v>0</v>
      </c>
      <c r="N211" s="129">
        <f t="shared" si="25"/>
        <v>0</v>
      </c>
      <c r="O211" s="547">
        <f t="shared" si="6"/>
        <v>0</v>
      </c>
      <c r="P211" s="130">
        <f t="shared" si="26"/>
        <v>0</v>
      </c>
      <c r="Q211" s="131">
        <f t="shared" si="27"/>
        <v>0</v>
      </c>
      <c r="R211" s="578">
        <f t="shared" si="40"/>
        <v>1</v>
      </c>
    </row>
    <row r="212" spans="1:18" s="57" customFormat="1" ht="24.9" customHeight="1" x14ac:dyDescent="0.25">
      <c r="A212" s="470" t="str">
        <f>'Kalk UHR GS Deisenhofen'!A212</f>
        <v>Sporthalle</v>
      </c>
      <c r="B212" s="302" t="str">
        <f>'Kalk UHR GS Deisenhofen'!B212</f>
        <v>UG</v>
      </c>
      <c r="C212" s="302" t="str">
        <f>'Kalk UHR GS Deisenhofen'!C212</f>
        <v>U.A.F.04</v>
      </c>
      <c r="D212" s="302" t="str">
        <f>'Kalk UHR GS Deisenhofen'!D212</f>
        <v>Flur</v>
      </c>
      <c r="E212" s="302" t="str">
        <f>'Kalk UHR GS Deisenhofen'!E212</f>
        <v>Linoleum</v>
      </c>
      <c r="F212" s="469" t="str">
        <f>'Kalk UHR GS Deisenhofen'!F212</f>
        <v>F1-W6</v>
      </c>
      <c r="G212" s="228" t="str">
        <f t="shared" si="38"/>
        <v>F1-J0,5</v>
      </c>
      <c r="H212" s="127">
        <f>'Kalk UHR GS Deisenhofen'!G212</f>
        <v>54.66</v>
      </c>
      <c r="I212" s="97" t="s">
        <v>909</v>
      </c>
      <c r="J212" s="328">
        <f>VLOOKUP(I212,Turnus!$D$9:$E$26,2,FALSE)</f>
        <v>0.5</v>
      </c>
      <c r="K212" s="127">
        <f t="shared" si="24"/>
        <v>27.33</v>
      </c>
      <c r="L212" s="128">
        <f>VLOOKUP($G212,'Leistungswerte GR Schulen'!$C$6:$F$53,4,FALSE)</f>
        <v>0</v>
      </c>
      <c r="M212" s="129">
        <f t="shared" si="39"/>
        <v>0</v>
      </c>
      <c r="N212" s="129">
        <f t="shared" si="25"/>
        <v>0</v>
      </c>
      <c r="O212" s="547">
        <f t="shared" si="6"/>
        <v>0</v>
      </c>
      <c r="P212" s="130">
        <f t="shared" si="26"/>
        <v>0</v>
      </c>
      <c r="Q212" s="131">
        <f t="shared" si="27"/>
        <v>0</v>
      </c>
      <c r="R212" s="578">
        <f t="shared" si="40"/>
        <v>1</v>
      </c>
    </row>
    <row r="213" spans="1:18" s="57" customFormat="1" ht="24.9" customHeight="1" x14ac:dyDescent="0.25">
      <c r="A213" s="470" t="str">
        <f>'Kalk UHR GS Deisenhofen'!A213</f>
        <v>Sporthalle</v>
      </c>
      <c r="B213" s="302" t="str">
        <f>'Kalk UHR GS Deisenhofen'!B213</f>
        <v>UG</v>
      </c>
      <c r="C213" s="302" t="str">
        <f>'Kalk UHR GS Deisenhofen'!C213</f>
        <v>U.A.F.05</v>
      </c>
      <c r="D213" s="302" t="str">
        <f>'Kalk UHR GS Deisenhofen'!D213</f>
        <v>Flur</v>
      </c>
      <c r="E213" s="302" t="str">
        <f>'Kalk UHR GS Deisenhofen'!E213</f>
        <v>Linoleum</v>
      </c>
      <c r="F213" s="469" t="str">
        <f>'Kalk UHR GS Deisenhofen'!F213</f>
        <v>F1-W6</v>
      </c>
      <c r="G213" s="228" t="str">
        <f t="shared" si="38"/>
        <v>F1-J0,5</v>
      </c>
      <c r="H213" s="127">
        <f>'Kalk UHR GS Deisenhofen'!G213</f>
        <v>38.119999999999997</v>
      </c>
      <c r="I213" s="97" t="s">
        <v>909</v>
      </c>
      <c r="J213" s="328">
        <f>VLOOKUP(I213,Turnus!$D$9:$E$26,2,FALSE)</f>
        <v>0.5</v>
      </c>
      <c r="K213" s="127">
        <f t="shared" ref="K213:K240" si="41">+H213*J213</f>
        <v>19.059999999999999</v>
      </c>
      <c r="L213" s="128">
        <f>VLOOKUP($G213,'Leistungswerte GR Schulen'!$C$6:$F$53,4,FALSE)</f>
        <v>0</v>
      </c>
      <c r="M213" s="129">
        <f t="shared" si="39"/>
        <v>0</v>
      </c>
      <c r="N213" s="129">
        <f t="shared" ref="N213:N240" si="42">IF(ISERROR(K213/L213),0,K213/L213)</f>
        <v>0</v>
      </c>
      <c r="O213" s="547">
        <f t="shared" si="6"/>
        <v>0</v>
      </c>
      <c r="P213" s="130">
        <f t="shared" ref="P213:P240" si="43">IF(ISERROR(H213/L213*O213),0,H213/L213*O213)</f>
        <v>0</v>
      </c>
      <c r="Q213" s="131">
        <f t="shared" ref="Q213:Q240" si="44">+N213*O213</f>
        <v>0</v>
      </c>
      <c r="R213" s="578">
        <f t="shared" si="40"/>
        <v>1</v>
      </c>
    </row>
    <row r="214" spans="1:18" s="57" customFormat="1" ht="24.9" customHeight="1" x14ac:dyDescent="0.25">
      <c r="A214" s="470" t="str">
        <f>'Kalk UHR GS Deisenhofen'!A214</f>
        <v>Sporthalle</v>
      </c>
      <c r="B214" s="302" t="str">
        <f>'Kalk UHR GS Deisenhofen'!B214</f>
        <v>UG</v>
      </c>
      <c r="C214" s="302" t="str">
        <f>'Kalk UHR GS Deisenhofen'!C214</f>
        <v>U.A.11</v>
      </c>
      <c r="D214" s="540" t="str">
        <f>'Kalk UHR GS Deisenhofen'!D214</f>
        <v>Lehrer-Umkleide inkl. Dusche und WC</v>
      </c>
      <c r="E214" s="302" t="str">
        <f>'Kalk UHR GS Deisenhofen'!E214</f>
        <v>Linoleum/ Fliesen</v>
      </c>
      <c r="F214" s="469" t="str">
        <f>'Kalk UHR GS Deisenhofen'!F214</f>
        <v>D1-W6</v>
      </c>
      <c r="G214" s="228" t="str">
        <f t="shared" si="38"/>
        <v>D1-J1</v>
      </c>
      <c r="H214" s="127">
        <f>'Kalk UHR GS Deisenhofen'!G214</f>
        <v>13.19</v>
      </c>
      <c r="I214" s="97" t="s">
        <v>54</v>
      </c>
      <c r="J214" s="328">
        <f>VLOOKUP(I214,Turnus!$D$9:$E$26,2,FALSE)</f>
        <v>1</v>
      </c>
      <c r="K214" s="127">
        <f t="shared" si="41"/>
        <v>13.19</v>
      </c>
      <c r="L214" s="128">
        <f>VLOOKUP($G214,'Leistungswerte GR Schulen'!$C$6:$F$53,4,FALSE)</f>
        <v>0</v>
      </c>
      <c r="M214" s="129">
        <f t="shared" si="39"/>
        <v>0</v>
      </c>
      <c r="N214" s="129">
        <f t="shared" si="42"/>
        <v>0</v>
      </c>
      <c r="O214" s="547">
        <f t="shared" si="6"/>
        <v>0</v>
      </c>
      <c r="P214" s="130">
        <f t="shared" si="43"/>
        <v>0</v>
      </c>
      <c r="Q214" s="131">
        <f t="shared" si="44"/>
        <v>0</v>
      </c>
      <c r="R214" s="578">
        <f t="shared" si="40"/>
        <v>1</v>
      </c>
    </row>
    <row r="215" spans="1:18" s="57" customFormat="1" ht="24.9" customHeight="1" x14ac:dyDescent="0.25">
      <c r="A215" s="470" t="str">
        <f>'Kalk UHR GS Deisenhofen'!A215</f>
        <v>Sporthalle</v>
      </c>
      <c r="B215" s="302" t="str">
        <f>'Kalk UHR GS Deisenhofen'!B215</f>
        <v>UG</v>
      </c>
      <c r="C215" s="302" t="str">
        <f>'Kalk UHR GS Deisenhofen'!C215</f>
        <v>U.A.12</v>
      </c>
      <c r="D215" s="540" t="str">
        <f>'Kalk UHR GS Deisenhofen'!D215</f>
        <v>Lehrer-Umkleide inkl. Dusche und WC</v>
      </c>
      <c r="E215" s="302" t="str">
        <f>'Kalk UHR GS Deisenhofen'!E215</f>
        <v>Linoleum/ Fliesen</v>
      </c>
      <c r="F215" s="469" t="str">
        <f>'Kalk UHR GS Deisenhofen'!F215</f>
        <v>D1-W6</v>
      </c>
      <c r="G215" s="228" t="str">
        <f t="shared" si="38"/>
        <v>D1-J1</v>
      </c>
      <c r="H215" s="127">
        <f>'Kalk UHR GS Deisenhofen'!G215</f>
        <v>13.19</v>
      </c>
      <c r="I215" s="97" t="s">
        <v>54</v>
      </c>
      <c r="J215" s="328">
        <f>VLOOKUP(I215,Turnus!$D$9:$E$26,2,FALSE)</f>
        <v>1</v>
      </c>
      <c r="K215" s="127">
        <f t="shared" si="41"/>
        <v>13.19</v>
      </c>
      <c r="L215" s="128">
        <f>VLOOKUP($G215,'Leistungswerte GR Schulen'!$C$6:$F$53,4,FALSE)</f>
        <v>0</v>
      </c>
      <c r="M215" s="129">
        <f t="shared" si="39"/>
        <v>0</v>
      </c>
      <c r="N215" s="129">
        <f t="shared" si="42"/>
        <v>0</v>
      </c>
      <c r="O215" s="547">
        <f t="shared" si="6"/>
        <v>0</v>
      </c>
      <c r="P215" s="130">
        <f t="shared" si="43"/>
        <v>0</v>
      </c>
      <c r="Q215" s="131">
        <f t="shared" si="44"/>
        <v>0</v>
      </c>
      <c r="R215" s="578">
        <f t="shared" si="40"/>
        <v>1</v>
      </c>
    </row>
    <row r="216" spans="1:18" s="57" customFormat="1" ht="24.9" customHeight="1" x14ac:dyDescent="0.25">
      <c r="A216" s="470" t="str">
        <f>'Kalk UHR GS Deisenhofen'!A216</f>
        <v>Sporthalle</v>
      </c>
      <c r="B216" s="302" t="str">
        <f>'Kalk UHR GS Deisenhofen'!B216</f>
        <v>UG</v>
      </c>
      <c r="C216" s="302" t="str">
        <f>'Kalk UHR GS Deisenhofen'!C216</f>
        <v>U.A.13</v>
      </c>
      <c r="D216" s="302" t="str">
        <f>'Kalk UHR GS Deisenhofen'!D216</f>
        <v>Umkleide</v>
      </c>
      <c r="E216" s="302" t="str">
        <f>'Kalk UHR GS Deisenhofen'!E216</f>
        <v>Linoleum</v>
      </c>
      <c r="F216" s="469" t="str">
        <f>'Kalk UHR GS Deisenhofen'!F216</f>
        <v>H1-W6</v>
      </c>
      <c r="G216" s="228" t="str">
        <f t="shared" si="38"/>
        <v>H1-J0,5</v>
      </c>
      <c r="H216" s="127">
        <f>'Kalk UHR GS Deisenhofen'!G216</f>
        <v>27</v>
      </c>
      <c r="I216" s="97" t="s">
        <v>909</v>
      </c>
      <c r="J216" s="328">
        <f>VLOOKUP(I216,Turnus!$D$9:$E$26,2,FALSE)</f>
        <v>0.5</v>
      </c>
      <c r="K216" s="127">
        <f t="shared" si="41"/>
        <v>13.5</v>
      </c>
      <c r="L216" s="128">
        <f>VLOOKUP($G216,'Leistungswerte GR Schulen'!$C$6:$F$53,4,FALSE)</f>
        <v>0</v>
      </c>
      <c r="M216" s="129">
        <f t="shared" si="39"/>
        <v>0</v>
      </c>
      <c r="N216" s="129">
        <f t="shared" si="42"/>
        <v>0</v>
      </c>
      <c r="O216" s="547">
        <f t="shared" si="6"/>
        <v>0</v>
      </c>
      <c r="P216" s="130">
        <f t="shared" si="43"/>
        <v>0</v>
      </c>
      <c r="Q216" s="131">
        <f t="shared" si="44"/>
        <v>0</v>
      </c>
      <c r="R216" s="578">
        <f t="shared" si="40"/>
        <v>1</v>
      </c>
    </row>
    <row r="217" spans="1:18" s="57" customFormat="1" ht="24.9" customHeight="1" x14ac:dyDescent="0.25">
      <c r="A217" s="470" t="str">
        <f>'Kalk UHR GS Deisenhofen'!A217</f>
        <v>Sporthalle</v>
      </c>
      <c r="B217" s="302" t="str">
        <f>'Kalk UHR GS Deisenhofen'!B217</f>
        <v>UG</v>
      </c>
      <c r="C217" s="302" t="str">
        <f>'Kalk UHR GS Deisenhofen'!C217</f>
        <v>U.A.13a</v>
      </c>
      <c r="D217" s="302" t="str">
        <f>'Kalk UHR GS Deisenhofen'!D217</f>
        <v>Dusche</v>
      </c>
      <c r="E217" s="302" t="str">
        <f>'Kalk UHR GS Deisenhofen'!E217</f>
        <v>Fliesen</v>
      </c>
      <c r="F217" s="469" t="str">
        <f>'Kalk UHR GS Deisenhofen'!F217</f>
        <v>D1-W6</v>
      </c>
      <c r="G217" s="228" t="str">
        <f t="shared" si="38"/>
        <v>D1-J1</v>
      </c>
      <c r="H217" s="127">
        <f>'Kalk UHR GS Deisenhofen'!G217</f>
        <v>21.65</v>
      </c>
      <c r="I217" s="97" t="s">
        <v>54</v>
      </c>
      <c r="J217" s="328">
        <f>VLOOKUP(I217,Turnus!$D$9:$E$26,2,FALSE)</f>
        <v>1</v>
      </c>
      <c r="K217" s="127">
        <f t="shared" si="41"/>
        <v>21.65</v>
      </c>
      <c r="L217" s="128">
        <f>VLOOKUP($G217,'Leistungswerte GR Schulen'!$C$6:$F$53,4,FALSE)</f>
        <v>0</v>
      </c>
      <c r="M217" s="129">
        <f t="shared" si="39"/>
        <v>0</v>
      </c>
      <c r="N217" s="129">
        <f t="shared" si="42"/>
        <v>0</v>
      </c>
      <c r="O217" s="547">
        <f t="shared" si="6"/>
        <v>0</v>
      </c>
      <c r="P217" s="130">
        <f t="shared" si="43"/>
        <v>0</v>
      </c>
      <c r="Q217" s="131">
        <f t="shared" si="44"/>
        <v>0</v>
      </c>
      <c r="R217" s="578">
        <f t="shared" si="40"/>
        <v>1</v>
      </c>
    </row>
    <row r="218" spans="1:18" s="57" customFormat="1" ht="24.9" customHeight="1" x14ac:dyDescent="0.25">
      <c r="A218" s="470" t="str">
        <f>'Kalk UHR GS Deisenhofen'!A218</f>
        <v>Sporthalle</v>
      </c>
      <c r="B218" s="302" t="str">
        <f>'Kalk UHR GS Deisenhofen'!B218</f>
        <v>UG</v>
      </c>
      <c r="C218" s="302" t="str">
        <f>'Kalk UHR GS Deisenhofen'!C218</f>
        <v>U.A.13b</v>
      </c>
      <c r="D218" s="302" t="str">
        <f>'Kalk UHR GS Deisenhofen'!D218</f>
        <v>WC</v>
      </c>
      <c r="E218" s="302" t="str">
        <f>'Kalk UHR GS Deisenhofen'!E218</f>
        <v>Fliesen</v>
      </c>
      <c r="F218" s="469" t="str">
        <f>'Kalk UHR GS Deisenhofen'!F218</f>
        <v>S1-W6</v>
      </c>
      <c r="G218" s="228" t="str">
        <f t="shared" si="38"/>
        <v>S1-J1</v>
      </c>
      <c r="H218" s="127">
        <f>'Kalk UHR GS Deisenhofen'!G218</f>
        <v>1.85</v>
      </c>
      <c r="I218" s="97" t="s">
        <v>54</v>
      </c>
      <c r="J218" s="328">
        <f>VLOOKUP(I218,Turnus!$D$9:$E$26,2,FALSE)</f>
        <v>1</v>
      </c>
      <c r="K218" s="127">
        <f t="shared" si="41"/>
        <v>1.85</v>
      </c>
      <c r="L218" s="128">
        <f>VLOOKUP($G218,'Leistungswerte GR Schulen'!$C$6:$F$53,4,FALSE)</f>
        <v>0</v>
      </c>
      <c r="M218" s="129">
        <f t="shared" si="39"/>
        <v>0</v>
      </c>
      <c r="N218" s="129">
        <f t="shared" si="42"/>
        <v>0</v>
      </c>
      <c r="O218" s="547">
        <f t="shared" si="6"/>
        <v>0</v>
      </c>
      <c r="P218" s="130">
        <f t="shared" si="43"/>
        <v>0</v>
      </c>
      <c r="Q218" s="131">
        <f t="shared" si="44"/>
        <v>0</v>
      </c>
      <c r="R218" s="578">
        <f t="shared" si="40"/>
        <v>1</v>
      </c>
    </row>
    <row r="219" spans="1:18" s="57" customFormat="1" ht="24.9" customHeight="1" x14ac:dyDescent="0.25">
      <c r="A219" s="470" t="str">
        <f>'Kalk UHR GS Deisenhofen'!A219</f>
        <v>Sporthalle</v>
      </c>
      <c r="B219" s="302" t="str">
        <f>'Kalk UHR GS Deisenhofen'!B219</f>
        <v>UG</v>
      </c>
      <c r="C219" s="302" t="str">
        <f>'Kalk UHR GS Deisenhofen'!C219</f>
        <v>U.A.13c</v>
      </c>
      <c r="D219" s="302" t="str">
        <f>'Kalk UHR GS Deisenhofen'!D219</f>
        <v>WC</v>
      </c>
      <c r="E219" s="302" t="str">
        <f>'Kalk UHR GS Deisenhofen'!E219</f>
        <v>Fliesen</v>
      </c>
      <c r="F219" s="469" t="str">
        <f>'Kalk UHR GS Deisenhofen'!F219</f>
        <v>S1-W6</v>
      </c>
      <c r="G219" s="228" t="str">
        <f t="shared" si="38"/>
        <v>S1-J1</v>
      </c>
      <c r="H219" s="127">
        <f>'Kalk UHR GS Deisenhofen'!G219</f>
        <v>1.85</v>
      </c>
      <c r="I219" s="97" t="s">
        <v>54</v>
      </c>
      <c r="J219" s="328">
        <f>VLOOKUP(I219,Turnus!$D$9:$E$26,2,FALSE)</f>
        <v>1</v>
      </c>
      <c r="K219" s="127">
        <f t="shared" si="41"/>
        <v>1.85</v>
      </c>
      <c r="L219" s="128">
        <f>VLOOKUP($G219,'Leistungswerte GR Schulen'!$C$6:$F$53,4,FALSE)</f>
        <v>0</v>
      </c>
      <c r="M219" s="129">
        <f t="shared" si="39"/>
        <v>0</v>
      </c>
      <c r="N219" s="129">
        <f t="shared" si="42"/>
        <v>0</v>
      </c>
      <c r="O219" s="547">
        <f t="shared" si="6"/>
        <v>0</v>
      </c>
      <c r="P219" s="130">
        <f t="shared" si="43"/>
        <v>0</v>
      </c>
      <c r="Q219" s="131">
        <f t="shared" si="44"/>
        <v>0</v>
      </c>
      <c r="R219" s="578">
        <f t="shared" si="40"/>
        <v>1</v>
      </c>
    </row>
    <row r="220" spans="1:18" s="57" customFormat="1" ht="24.9" customHeight="1" x14ac:dyDescent="0.25">
      <c r="A220" s="470" t="str">
        <f>'Kalk UHR GS Deisenhofen'!A220</f>
        <v>Sporthalle</v>
      </c>
      <c r="B220" s="302" t="str">
        <f>'Kalk UHR GS Deisenhofen'!B220</f>
        <v>UG</v>
      </c>
      <c r="C220" s="302" t="str">
        <f>'Kalk UHR GS Deisenhofen'!C220</f>
        <v>U.A.14</v>
      </c>
      <c r="D220" s="302" t="str">
        <f>'Kalk UHR GS Deisenhofen'!D220</f>
        <v>Umkleide</v>
      </c>
      <c r="E220" s="302" t="str">
        <f>'Kalk UHR GS Deisenhofen'!E220</f>
        <v>Linoleum</v>
      </c>
      <c r="F220" s="469" t="str">
        <f>'Kalk UHR GS Deisenhofen'!F220</f>
        <v>H1-W6</v>
      </c>
      <c r="G220" s="228" t="str">
        <f t="shared" si="38"/>
        <v>H1-J0,5</v>
      </c>
      <c r="H220" s="127">
        <f>'Kalk UHR GS Deisenhofen'!G220</f>
        <v>28.01</v>
      </c>
      <c r="I220" s="97" t="s">
        <v>909</v>
      </c>
      <c r="J220" s="328">
        <f>VLOOKUP(I220,Turnus!$D$9:$E$26,2,FALSE)</f>
        <v>0.5</v>
      </c>
      <c r="K220" s="127">
        <f t="shared" si="41"/>
        <v>14.005000000000001</v>
      </c>
      <c r="L220" s="128">
        <f>VLOOKUP($G220,'Leistungswerte GR Schulen'!$C$6:$F$53,4,FALSE)</f>
        <v>0</v>
      </c>
      <c r="M220" s="129">
        <f t="shared" si="39"/>
        <v>0</v>
      </c>
      <c r="N220" s="129">
        <f t="shared" si="42"/>
        <v>0</v>
      </c>
      <c r="O220" s="547">
        <f t="shared" si="6"/>
        <v>0</v>
      </c>
      <c r="P220" s="130">
        <f t="shared" si="43"/>
        <v>0</v>
      </c>
      <c r="Q220" s="131">
        <f t="shared" si="44"/>
        <v>0</v>
      </c>
      <c r="R220" s="578">
        <f t="shared" si="40"/>
        <v>1</v>
      </c>
    </row>
    <row r="221" spans="1:18" s="57" customFormat="1" ht="24.9" customHeight="1" x14ac:dyDescent="0.25">
      <c r="A221" s="470" t="str">
        <f>'Kalk UHR GS Deisenhofen'!A221</f>
        <v>Sporthalle</v>
      </c>
      <c r="B221" s="302" t="str">
        <f>'Kalk UHR GS Deisenhofen'!B221</f>
        <v>UG</v>
      </c>
      <c r="C221" s="302" t="str">
        <f>'Kalk UHR GS Deisenhofen'!C221</f>
        <v>U.A.F.06</v>
      </c>
      <c r="D221" s="302" t="str">
        <f>'Kalk UHR GS Deisenhofen'!D221</f>
        <v>Flur</v>
      </c>
      <c r="E221" s="302" t="str">
        <f>'Kalk UHR GS Deisenhofen'!E221</f>
        <v>Linoleum</v>
      </c>
      <c r="F221" s="469" t="str">
        <f>'Kalk UHR GS Deisenhofen'!F221</f>
        <v>F1-W6</v>
      </c>
      <c r="G221" s="228" t="str">
        <f t="shared" si="38"/>
        <v>F1-J0,5</v>
      </c>
      <c r="H221" s="127">
        <f>'Kalk UHR GS Deisenhofen'!G221</f>
        <v>42.16</v>
      </c>
      <c r="I221" s="97" t="s">
        <v>909</v>
      </c>
      <c r="J221" s="328">
        <f>VLOOKUP(I221,Turnus!$D$9:$E$26,2,FALSE)</f>
        <v>0.5</v>
      </c>
      <c r="K221" s="127">
        <f t="shared" ref="K221:K236" si="45">+H221*J221</f>
        <v>21.08</v>
      </c>
      <c r="L221" s="128">
        <f>VLOOKUP($G221,'Leistungswerte GR Schulen'!$C$6:$F$53,4,FALSE)</f>
        <v>0</v>
      </c>
      <c r="M221" s="129">
        <f t="shared" si="39"/>
        <v>0</v>
      </c>
      <c r="N221" s="129">
        <f t="shared" ref="N221:N236" si="46">IF(ISERROR(K221/L221),0,K221/L221)</f>
        <v>0</v>
      </c>
      <c r="O221" s="547">
        <f t="shared" si="6"/>
        <v>0</v>
      </c>
      <c r="P221" s="130">
        <f t="shared" ref="P221:P236" si="47">IF(ISERROR(H221/L221*O221),0,H221/L221*O221)</f>
        <v>0</v>
      </c>
      <c r="Q221" s="131">
        <f t="shared" ref="Q221:Q236" si="48">+N221*O221</f>
        <v>0</v>
      </c>
      <c r="R221" s="578">
        <f t="shared" si="40"/>
        <v>1</v>
      </c>
    </row>
    <row r="222" spans="1:18" s="57" customFormat="1" ht="24.9" customHeight="1" x14ac:dyDescent="0.25">
      <c r="A222" s="470" t="str">
        <f>'Kalk UHR GS Deisenhofen'!A222</f>
        <v>Schule</v>
      </c>
      <c r="B222" s="302" t="str">
        <f>'Kalk UHR GS Deisenhofen'!B222</f>
        <v>UG</v>
      </c>
      <c r="C222" s="302" t="str">
        <f>'Kalk UHR GS Deisenhofen'!C222</f>
        <v>U.C.15</v>
      </c>
      <c r="D222" s="302" t="str">
        <f>'Kalk UHR GS Deisenhofen'!D222</f>
        <v>Stuhllager</v>
      </c>
      <c r="E222" s="302" t="str">
        <f>'Kalk UHR GS Deisenhofen'!E222</f>
        <v>Hartbelag</v>
      </c>
      <c r="F222" s="469" t="str">
        <f>'Kalk UHR GS Deisenhofen'!F222</f>
        <v>L1-J2</v>
      </c>
      <c r="G222" s="414" t="str">
        <f t="shared" si="38"/>
        <v>L1-J0,5</v>
      </c>
      <c r="H222" s="127">
        <f>'Kalk UHR GS Deisenhofen'!G222</f>
        <v>37.76</v>
      </c>
      <c r="I222" s="97" t="s">
        <v>909</v>
      </c>
      <c r="J222" s="328">
        <f>VLOOKUP(I222,Turnus!$D$9:$E$26,2,FALSE)</f>
        <v>0.5</v>
      </c>
      <c r="K222" s="127">
        <f t="shared" si="45"/>
        <v>18.88</v>
      </c>
      <c r="L222" s="128">
        <f>VLOOKUP($G222,'Leistungswerte GR Schulen'!$C$6:$F$53,4,FALSE)</f>
        <v>0</v>
      </c>
      <c r="M222" s="129">
        <f t="shared" si="39"/>
        <v>0</v>
      </c>
      <c r="N222" s="129">
        <f t="shared" si="46"/>
        <v>0</v>
      </c>
      <c r="O222" s="547">
        <f t="shared" si="6"/>
        <v>0</v>
      </c>
      <c r="P222" s="130">
        <f t="shared" si="47"/>
        <v>0</v>
      </c>
      <c r="Q222" s="131">
        <f t="shared" si="48"/>
        <v>0</v>
      </c>
      <c r="R222" s="578">
        <f t="shared" si="40"/>
        <v>1</v>
      </c>
    </row>
    <row r="223" spans="1:18" s="57" customFormat="1" ht="24.9" customHeight="1" x14ac:dyDescent="0.25">
      <c r="A223" s="470" t="str">
        <f>'Kalk UHR GS Deisenhofen'!A223</f>
        <v>Schule</v>
      </c>
      <c r="B223" s="302" t="str">
        <f>'Kalk UHR GS Deisenhofen'!B223</f>
        <v>UG</v>
      </c>
      <c r="C223" s="302" t="str">
        <f>'Kalk UHR GS Deisenhofen'!C223</f>
        <v>U.C.16</v>
      </c>
      <c r="D223" s="302" t="str">
        <f>'Kalk UHR GS Deisenhofen'!D223</f>
        <v>Lager Sporthalle</v>
      </c>
      <c r="E223" s="302" t="str">
        <f>'Kalk UHR GS Deisenhofen'!E223</f>
        <v>Linoleum</v>
      </c>
      <c r="F223" s="469" t="str">
        <f>'Kalk UHR GS Deisenhofen'!F223</f>
        <v>L1-J2</v>
      </c>
      <c r="G223" s="414" t="str">
        <f t="shared" si="38"/>
        <v>L1-J0,5</v>
      </c>
      <c r="H223" s="127">
        <f>'Kalk UHR GS Deisenhofen'!G223</f>
        <v>41.63</v>
      </c>
      <c r="I223" s="97" t="s">
        <v>909</v>
      </c>
      <c r="J223" s="328">
        <f>VLOOKUP(I223,Turnus!$D$9:$E$26,2,FALSE)</f>
        <v>0.5</v>
      </c>
      <c r="K223" s="127">
        <f t="shared" si="45"/>
        <v>20.815000000000001</v>
      </c>
      <c r="L223" s="128">
        <f>VLOOKUP($G223,'Leistungswerte GR Schulen'!$C$6:$F$53,4,FALSE)</f>
        <v>0</v>
      </c>
      <c r="M223" s="129">
        <f t="shared" si="39"/>
        <v>0</v>
      </c>
      <c r="N223" s="129">
        <f t="shared" si="46"/>
        <v>0</v>
      </c>
      <c r="O223" s="547">
        <f t="shared" si="6"/>
        <v>0</v>
      </c>
      <c r="P223" s="130">
        <f t="shared" si="47"/>
        <v>0</v>
      </c>
      <c r="Q223" s="131">
        <f t="shared" si="48"/>
        <v>0</v>
      </c>
      <c r="R223" s="578">
        <f t="shared" si="40"/>
        <v>1</v>
      </c>
    </row>
    <row r="224" spans="1:18" s="57" customFormat="1" ht="24.9" customHeight="1" x14ac:dyDescent="0.25">
      <c r="A224" s="470" t="str">
        <f>'Kalk UHR GS Deisenhofen'!A224</f>
        <v>Schule</v>
      </c>
      <c r="B224" s="302" t="str">
        <f>'Kalk UHR GS Deisenhofen'!B224</f>
        <v>UG</v>
      </c>
      <c r="C224" s="302" t="str">
        <f>'Kalk UHR GS Deisenhofen'!C224</f>
        <v>U.C.17</v>
      </c>
      <c r="D224" s="302" t="str">
        <f>'Kalk UHR GS Deisenhofen'!D224</f>
        <v>Putzraum</v>
      </c>
      <c r="E224" s="302" t="str">
        <f>'Kalk UHR GS Deisenhofen'!E224</f>
        <v>Hartbelag</v>
      </c>
      <c r="F224" s="469" t="str">
        <f>'Kalk UHR GS Deisenhofen'!F224</f>
        <v>Z-kR</v>
      </c>
      <c r="G224" s="414" t="str">
        <f t="shared" si="38"/>
        <v>Z--kR</v>
      </c>
      <c r="H224" s="127">
        <f>'Kalk UHR GS Deisenhofen'!G224</f>
        <v>12.59</v>
      </c>
      <c r="I224" s="97" t="s">
        <v>68</v>
      </c>
      <c r="J224" s="328">
        <f>VLOOKUP(I224,Turnus!$D$9:$E$26,2,FALSE)</f>
        <v>0</v>
      </c>
      <c r="K224" s="127">
        <f t="shared" si="45"/>
        <v>0</v>
      </c>
      <c r="L224" s="128">
        <f>VLOOKUP($G224,'Leistungswerte GR Schulen'!$C$6:$F$53,4,FALSE)</f>
        <v>0</v>
      </c>
      <c r="M224" s="129">
        <f t="shared" si="39"/>
        <v>0</v>
      </c>
      <c r="N224" s="129">
        <f t="shared" si="46"/>
        <v>0</v>
      </c>
      <c r="O224" s="547">
        <f t="shared" si="6"/>
        <v>0</v>
      </c>
      <c r="P224" s="130">
        <f t="shared" si="47"/>
        <v>0</v>
      </c>
      <c r="Q224" s="131">
        <f t="shared" si="48"/>
        <v>0</v>
      </c>
      <c r="R224" s="578">
        <f t="shared" si="40"/>
        <v>1</v>
      </c>
    </row>
    <row r="225" spans="1:18" s="57" customFormat="1" ht="24.9" customHeight="1" x14ac:dyDescent="0.25">
      <c r="A225" s="470" t="str">
        <f>'Kalk UHR GS Deisenhofen'!A225</f>
        <v>Schule</v>
      </c>
      <c r="B225" s="302" t="str">
        <f>'Kalk UHR GS Deisenhofen'!B225</f>
        <v>UG</v>
      </c>
      <c r="C225" s="302" t="str">
        <f>'Kalk UHR GS Deisenhofen'!C225</f>
        <v>U.C.F.07</v>
      </c>
      <c r="D225" s="302" t="str">
        <f>'Kalk UHR GS Deisenhofen'!D225</f>
        <v>Flur</v>
      </c>
      <c r="E225" s="302" t="str">
        <f>'Kalk UHR GS Deisenhofen'!E225</f>
        <v>Hartbelag</v>
      </c>
      <c r="F225" s="469" t="str">
        <f>'Kalk UHR GS Deisenhofen'!F225</f>
        <v>F1-W1</v>
      </c>
      <c r="G225" s="414" t="str">
        <f t="shared" si="38"/>
        <v>F1-J0,5</v>
      </c>
      <c r="H225" s="127">
        <f>'Kalk UHR GS Deisenhofen'!G225</f>
        <v>19.899999999999999</v>
      </c>
      <c r="I225" s="97" t="s">
        <v>909</v>
      </c>
      <c r="J225" s="328">
        <f>VLOOKUP(I225,Turnus!$D$9:$E$26,2,FALSE)</f>
        <v>0.5</v>
      </c>
      <c r="K225" s="127">
        <f t="shared" si="45"/>
        <v>9.9499999999999993</v>
      </c>
      <c r="L225" s="128">
        <f>VLOOKUP($G225,'Leistungswerte GR Schulen'!$C$6:$F$53,4,FALSE)</f>
        <v>0</v>
      </c>
      <c r="M225" s="129">
        <f t="shared" si="39"/>
        <v>0</v>
      </c>
      <c r="N225" s="129">
        <f t="shared" si="46"/>
        <v>0</v>
      </c>
      <c r="O225" s="547">
        <f t="shared" si="6"/>
        <v>0</v>
      </c>
      <c r="P225" s="130">
        <f t="shared" si="47"/>
        <v>0</v>
      </c>
      <c r="Q225" s="131">
        <f t="shared" si="48"/>
        <v>0</v>
      </c>
      <c r="R225" s="578">
        <f t="shared" si="40"/>
        <v>1</v>
      </c>
    </row>
    <row r="226" spans="1:18" s="57" customFormat="1" ht="24.9" customHeight="1" x14ac:dyDescent="0.25">
      <c r="A226" s="470" t="str">
        <f>'Kalk UHR GS Deisenhofen'!A226</f>
        <v>Schule</v>
      </c>
      <c r="B226" s="302" t="str">
        <f>'Kalk UHR GS Deisenhofen'!B226</f>
        <v>UG</v>
      </c>
      <c r="C226" s="302" t="str">
        <f>'Kalk UHR GS Deisenhofen'!C226</f>
        <v>U.C.18</v>
      </c>
      <c r="D226" s="302" t="str">
        <f>'Kalk UHR GS Deisenhofen'!D226</f>
        <v>Requisiten/Lager</v>
      </c>
      <c r="E226" s="302" t="str">
        <f>'Kalk UHR GS Deisenhofen'!E226</f>
        <v>Hartbelag</v>
      </c>
      <c r="F226" s="469" t="str">
        <f>'Kalk UHR GS Deisenhofen'!F226</f>
        <v>L1-J2</v>
      </c>
      <c r="G226" s="414" t="str">
        <f t="shared" si="38"/>
        <v>L1-J0,5</v>
      </c>
      <c r="H226" s="127">
        <f>'Kalk UHR GS Deisenhofen'!G226</f>
        <v>118.81</v>
      </c>
      <c r="I226" s="97" t="s">
        <v>909</v>
      </c>
      <c r="J226" s="328">
        <f>VLOOKUP(I226,Turnus!$D$9:$E$26,2,FALSE)</f>
        <v>0.5</v>
      </c>
      <c r="K226" s="127">
        <f t="shared" si="45"/>
        <v>59.405000000000001</v>
      </c>
      <c r="L226" s="128">
        <f>VLOOKUP($G226,'Leistungswerte GR Schulen'!$C$6:$F$53,4,FALSE)</f>
        <v>0</v>
      </c>
      <c r="M226" s="129">
        <f t="shared" si="39"/>
        <v>0</v>
      </c>
      <c r="N226" s="129">
        <f t="shared" si="46"/>
        <v>0</v>
      </c>
      <c r="O226" s="547">
        <f t="shared" si="6"/>
        <v>0</v>
      </c>
      <c r="P226" s="130">
        <f t="shared" si="47"/>
        <v>0</v>
      </c>
      <c r="Q226" s="131">
        <f t="shared" si="48"/>
        <v>0</v>
      </c>
      <c r="R226" s="578">
        <f t="shared" si="40"/>
        <v>1</v>
      </c>
    </row>
    <row r="227" spans="1:18" s="57" customFormat="1" ht="24.9" customHeight="1" x14ac:dyDescent="0.25">
      <c r="A227" s="470" t="str">
        <f>'Kalk UHR GS Deisenhofen'!A227</f>
        <v>Schule</v>
      </c>
      <c r="B227" s="302" t="str">
        <f>'Kalk UHR GS Deisenhofen'!B227</f>
        <v>UG</v>
      </c>
      <c r="C227" s="302" t="str">
        <f>'Kalk UHR GS Deisenhofen'!C227</f>
        <v>U.C.19</v>
      </c>
      <c r="D227" s="302" t="str">
        <f>'Kalk UHR GS Deisenhofen'!D227</f>
        <v>S.i.B. EL</v>
      </c>
      <c r="E227" s="302" t="str">
        <f>'Kalk UHR GS Deisenhofen'!E227</f>
        <v>Hartbelag</v>
      </c>
      <c r="F227" s="469" t="str">
        <f>'Kalk UHR GS Deisenhofen'!F227</f>
        <v>Z-kR</v>
      </c>
      <c r="G227" s="414" t="str">
        <f t="shared" si="38"/>
        <v>Z--kR</v>
      </c>
      <c r="H227" s="127">
        <f>'Kalk UHR GS Deisenhofen'!G227</f>
        <v>12.19</v>
      </c>
      <c r="I227" s="97" t="s">
        <v>68</v>
      </c>
      <c r="J227" s="328">
        <f>VLOOKUP(I227,Turnus!$D$9:$E$26,2,FALSE)</f>
        <v>0</v>
      </c>
      <c r="K227" s="127">
        <f t="shared" si="45"/>
        <v>0</v>
      </c>
      <c r="L227" s="128">
        <f>VLOOKUP($G227,'Leistungswerte GR Schulen'!$C$6:$F$53,4,FALSE)</f>
        <v>0</v>
      </c>
      <c r="M227" s="129">
        <f t="shared" si="39"/>
        <v>0</v>
      </c>
      <c r="N227" s="129">
        <f t="shared" si="46"/>
        <v>0</v>
      </c>
      <c r="O227" s="547">
        <f t="shared" si="6"/>
        <v>0</v>
      </c>
      <c r="P227" s="130">
        <f t="shared" si="47"/>
        <v>0</v>
      </c>
      <c r="Q227" s="131">
        <f t="shared" si="48"/>
        <v>0</v>
      </c>
      <c r="R227" s="578">
        <f t="shared" si="40"/>
        <v>1</v>
      </c>
    </row>
    <row r="228" spans="1:18" s="57" customFormat="1" ht="24.9" customHeight="1" x14ac:dyDescent="0.25">
      <c r="A228" s="470" t="str">
        <f>'Kalk UHR GS Deisenhofen'!A228</f>
        <v>Schule</v>
      </c>
      <c r="B228" s="302" t="str">
        <f>'Kalk UHR GS Deisenhofen'!B228</f>
        <v>UG</v>
      </c>
      <c r="C228" s="302" t="str">
        <f>'Kalk UHR GS Deisenhofen'!C228</f>
        <v>U.C.20</v>
      </c>
      <c r="D228" s="302" t="str">
        <f>'Kalk UHR GS Deisenhofen'!D228</f>
        <v>BMZ</v>
      </c>
      <c r="E228" s="302" t="str">
        <f>'Kalk UHR GS Deisenhofen'!E228</f>
        <v>Hartbelag</v>
      </c>
      <c r="F228" s="469" t="str">
        <f>'Kalk UHR GS Deisenhofen'!F228</f>
        <v>Z-kR</v>
      </c>
      <c r="G228" s="414" t="str">
        <f t="shared" si="38"/>
        <v>Z--kR</v>
      </c>
      <c r="H228" s="127">
        <f>'Kalk UHR GS Deisenhofen'!G228</f>
        <v>12.14</v>
      </c>
      <c r="I228" s="97" t="s">
        <v>68</v>
      </c>
      <c r="J228" s="328">
        <f>VLOOKUP(I228,Turnus!$D$9:$E$26,2,FALSE)</f>
        <v>0</v>
      </c>
      <c r="K228" s="127">
        <f t="shared" si="45"/>
        <v>0</v>
      </c>
      <c r="L228" s="128">
        <f>VLOOKUP($G228,'Leistungswerte GR Schulen'!$C$6:$F$53,4,FALSE)</f>
        <v>0</v>
      </c>
      <c r="M228" s="129">
        <f t="shared" si="39"/>
        <v>0</v>
      </c>
      <c r="N228" s="129">
        <f t="shared" si="46"/>
        <v>0</v>
      </c>
      <c r="O228" s="547">
        <f t="shared" si="6"/>
        <v>0</v>
      </c>
      <c r="P228" s="130">
        <f t="shared" si="47"/>
        <v>0</v>
      </c>
      <c r="Q228" s="131">
        <f t="shared" si="48"/>
        <v>0</v>
      </c>
      <c r="R228" s="578">
        <f t="shared" si="40"/>
        <v>1</v>
      </c>
    </row>
    <row r="229" spans="1:18" s="57" customFormat="1" ht="24.9" customHeight="1" x14ac:dyDescent="0.25">
      <c r="A229" s="470" t="str">
        <f>'Kalk UHR GS Deisenhofen'!A229</f>
        <v>Schule</v>
      </c>
      <c r="B229" s="302" t="str">
        <f>'Kalk UHR GS Deisenhofen'!B229</f>
        <v>UG</v>
      </c>
      <c r="C229" s="302" t="str">
        <f>'Kalk UHR GS Deisenhofen'!C229</f>
        <v>U.C.21</v>
      </c>
      <c r="D229" s="302" t="str">
        <f>'Kalk UHR GS Deisenhofen'!D229</f>
        <v>IT</v>
      </c>
      <c r="E229" s="302" t="str">
        <f>'Kalk UHR GS Deisenhofen'!E229</f>
        <v>Hartbelag</v>
      </c>
      <c r="F229" s="469" t="str">
        <f>'Kalk UHR GS Deisenhofen'!F229</f>
        <v>Z-kR</v>
      </c>
      <c r="G229" s="414" t="str">
        <f t="shared" si="38"/>
        <v>Z--kR</v>
      </c>
      <c r="H229" s="127">
        <f>'Kalk UHR GS Deisenhofen'!G229</f>
        <v>16.899999999999999</v>
      </c>
      <c r="I229" s="97" t="s">
        <v>68</v>
      </c>
      <c r="J229" s="328">
        <f>VLOOKUP(I229,Turnus!$D$9:$E$26,2,FALSE)</f>
        <v>0</v>
      </c>
      <c r="K229" s="127">
        <f t="shared" si="45"/>
        <v>0</v>
      </c>
      <c r="L229" s="128">
        <f>VLOOKUP($G229,'Leistungswerte GR Schulen'!$C$6:$F$53,4,FALSE)</f>
        <v>0</v>
      </c>
      <c r="M229" s="129">
        <f t="shared" si="39"/>
        <v>0</v>
      </c>
      <c r="N229" s="129">
        <f t="shared" si="46"/>
        <v>0</v>
      </c>
      <c r="O229" s="547">
        <f t="shared" si="6"/>
        <v>0</v>
      </c>
      <c r="P229" s="130">
        <f t="shared" si="47"/>
        <v>0</v>
      </c>
      <c r="Q229" s="131">
        <f t="shared" si="48"/>
        <v>0</v>
      </c>
      <c r="R229" s="578">
        <f t="shared" si="40"/>
        <v>1</v>
      </c>
    </row>
    <row r="230" spans="1:18" s="57" customFormat="1" ht="24.9" customHeight="1" x14ac:dyDescent="0.25">
      <c r="A230" s="470" t="str">
        <f>'Kalk UHR GS Deisenhofen'!A230</f>
        <v>Schule</v>
      </c>
      <c r="B230" s="302" t="str">
        <f>'Kalk UHR GS Deisenhofen'!B230</f>
        <v>UG</v>
      </c>
      <c r="C230" s="302" t="str">
        <f>'Kalk UHR GS Deisenhofen'!C230</f>
        <v>U.C.22</v>
      </c>
      <c r="D230" s="302" t="str">
        <f>'Kalk UHR GS Deisenhofen'!D230</f>
        <v>Technik</v>
      </c>
      <c r="E230" s="302" t="str">
        <f>'Kalk UHR GS Deisenhofen'!E230</f>
        <v>Hartbelag</v>
      </c>
      <c r="F230" s="469" t="str">
        <f>'Kalk UHR GS Deisenhofen'!F230</f>
        <v>Z-kR</v>
      </c>
      <c r="G230" s="414" t="str">
        <f t="shared" si="38"/>
        <v>Z--kR</v>
      </c>
      <c r="H230" s="127">
        <f>'Kalk UHR GS Deisenhofen'!G230</f>
        <v>196.68</v>
      </c>
      <c r="I230" s="97" t="s">
        <v>68</v>
      </c>
      <c r="J230" s="328">
        <f>VLOOKUP(I230,Turnus!$D$9:$E$26,2,FALSE)</f>
        <v>0</v>
      </c>
      <c r="K230" s="127">
        <f t="shared" si="45"/>
        <v>0</v>
      </c>
      <c r="L230" s="128">
        <f>VLOOKUP($G230,'Leistungswerte GR Schulen'!$C$6:$F$53,4,FALSE)</f>
        <v>0</v>
      </c>
      <c r="M230" s="129">
        <f t="shared" si="39"/>
        <v>0</v>
      </c>
      <c r="N230" s="129">
        <f t="shared" si="46"/>
        <v>0</v>
      </c>
      <c r="O230" s="547">
        <f t="shared" si="6"/>
        <v>0</v>
      </c>
      <c r="P230" s="130">
        <f t="shared" si="47"/>
        <v>0</v>
      </c>
      <c r="Q230" s="131">
        <f t="shared" si="48"/>
        <v>0</v>
      </c>
      <c r="R230" s="578">
        <f t="shared" si="40"/>
        <v>1</v>
      </c>
    </row>
    <row r="231" spans="1:18" s="57" customFormat="1" ht="24.9" customHeight="1" x14ac:dyDescent="0.25">
      <c r="A231" s="470" t="str">
        <f>'Kalk UHR GS Deisenhofen'!A231</f>
        <v>Schule</v>
      </c>
      <c r="B231" s="302" t="str">
        <f>'Kalk UHR GS Deisenhofen'!B231</f>
        <v>UG</v>
      </c>
      <c r="C231" s="302" t="str">
        <f>'Kalk UHR GS Deisenhofen'!C231</f>
        <v>U.C.K.01</v>
      </c>
      <c r="D231" s="302" t="str">
        <f>'Kalk UHR GS Deisenhofen'!D231</f>
        <v>Kriechgang</v>
      </c>
      <c r="E231" s="302" t="str">
        <f>'Kalk UHR GS Deisenhofen'!E231</f>
        <v>Hartbelag</v>
      </c>
      <c r="F231" s="469" t="str">
        <f>'Kalk UHR GS Deisenhofen'!F231</f>
        <v>Z-kR</v>
      </c>
      <c r="G231" s="414" t="str">
        <f t="shared" si="38"/>
        <v>Z--kR</v>
      </c>
      <c r="H231" s="127">
        <f>'Kalk UHR GS Deisenhofen'!G231</f>
        <v>65.69</v>
      </c>
      <c r="I231" s="97" t="s">
        <v>68</v>
      </c>
      <c r="J231" s="328">
        <f>VLOOKUP(I231,Turnus!$D$9:$E$26,2,FALSE)</f>
        <v>0</v>
      </c>
      <c r="K231" s="127">
        <f t="shared" si="45"/>
        <v>0</v>
      </c>
      <c r="L231" s="128">
        <f>VLOOKUP($G231,'Leistungswerte GR Schulen'!$C$6:$F$53,4,FALSE)</f>
        <v>0</v>
      </c>
      <c r="M231" s="129">
        <f t="shared" si="39"/>
        <v>0</v>
      </c>
      <c r="N231" s="129">
        <f t="shared" si="46"/>
        <v>0</v>
      </c>
      <c r="O231" s="547">
        <f t="shared" si="6"/>
        <v>0</v>
      </c>
      <c r="P231" s="130">
        <f t="shared" si="47"/>
        <v>0</v>
      </c>
      <c r="Q231" s="131">
        <f t="shared" si="48"/>
        <v>0</v>
      </c>
      <c r="R231" s="578">
        <f t="shared" si="40"/>
        <v>1</v>
      </c>
    </row>
    <row r="232" spans="1:18" s="57" customFormat="1" ht="24.9" customHeight="1" x14ac:dyDescent="0.25">
      <c r="A232" s="470" t="str">
        <f>'Kalk UHR GS Deisenhofen'!A232</f>
        <v>Schule</v>
      </c>
      <c r="B232" s="302" t="str">
        <f>'Kalk UHR GS Deisenhofen'!B232</f>
        <v>UG</v>
      </c>
      <c r="C232" s="302" t="str">
        <f>'Kalk UHR GS Deisenhofen'!C232</f>
        <v>U.C.K.01a</v>
      </c>
      <c r="D232" s="302" t="str">
        <f>'Kalk UHR GS Deisenhofen'!D232</f>
        <v>Kriechgang</v>
      </c>
      <c r="E232" s="302" t="str">
        <f>'Kalk UHR GS Deisenhofen'!E232</f>
        <v>Hartbelag</v>
      </c>
      <c r="F232" s="469" t="str">
        <f>'Kalk UHR GS Deisenhofen'!F232</f>
        <v>Z-kR</v>
      </c>
      <c r="G232" s="414" t="str">
        <f t="shared" si="38"/>
        <v>Z--kR</v>
      </c>
      <c r="H232" s="127">
        <f>'Kalk UHR GS Deisenhofen'!G232</f>
        <v>3.39</v>
      </c>
      <c r="I232" s="97" t="s">
        <v>68</v>
      </c>
      <c r="J232" s="328">
        <f>VLOOKUP(I232,Turnus!$D$9:$E$26,2,FALSE)</f>
        <v>0</v>
      </c>
      <c r="K232" s="127">
        <f t="shared" si="45"/>
        <v>0</v>
      </c>
      <c r="L232" s="128">
        <f>VLOOKUP($G232,'Leistungswerte GR Schulen'!$C$6:$F$53,4,FALSE)</f>
        <v>0</v>
      </c>
      <c r="M232" s="129">
        <f t="shared" si="39"/>
        <v>0</v>
      </c>
      <c r="N232" s="129">
        <f t="shared" si="46"/>
        <v>0</v>
      </c>
      <c r="O232" s="547">
        <f t="shared" si="6"/>
        <v>0</v>
      </c>
      <c r="P232" s="130">
        <f t="shared" si="47"/>
        <v>0</v>
      </c>
      <c r="Q232" s="131">
        <f t="shared" si="48"/>
        <v>0</v>
      </c>
      <c r="R232" s="578">
        <f t="shared" si="40"/>
        <v>1</v>
      </c>
    </row>
    <row r="233" spans="1:18" s="57" customFormat="1" ht="24.9" customHeight="1" x14ac:dyDescent="0.25">
      <c r="A233" s="470" t="str">
        <f>'Kalk UHR GS Deisenhofen'!A233</f>
        <v>Schule</v>
      </c>
      <c r="B233" s="302" t="str">
        <f>'Kalk UHR GS Deisenhofen'!B233</f>
        <v>UG</v>
      </c>
      <c r="C233" s="302" t="str">
        <f>'Kalk UHR GS Deisenhofen'!C233</f>
        <v>U.C.23</v>
      </c>
      <c r="D233" s="302" t="str">
        <f>'Kalk UHR GS Deisenhofen'!D233</f>
        <v>Lager</v>
      </c>
      <c r="E233" s="302" t="str">
        <f>'Kalk UHR GS Deisenhofen'!E233</f>
        <v>Hartbelag</v>
      </c>
      <c r="F233" s="469" t="str">
        <f>'Kalk UHR GS Deisenhofen'!F233</f>
        <v>L1-M1</v>
      </c>
      <c r="G233" s="414" t="str">
        <f t="shared" si="38"/>
        <v>L1-J0,5</v>
      </c>
      <c r="H233" s="127">
        <f>'Kalk UHR GS Deisenhofen'!G233</f>
        <v>21.94</v>
      </c>
      <c r="I233" s="97" t="s">
        <v>909</v>
      </c>
      <c r="J233" s="328">
        <f>VLOOKUP(I233,Turnus!$D$9:$E$26,2,FALSE)</f>
        <v>0.5</v>
      </c>
      <c r="K233" s="127">
        <f t="shared" si="45"/>
        <v>10.97</v>
      </c>
      <c r="L233" s="128">
        <f>VLOOKUP($G233,'Leistungswerte GR Schulen'!$C$6:$F$53,4,FALSE)</f>
        <v>0</v>
      </c>
      <c r="M233" s="129">
        <f t="shared" si="39"/>
        <v>0</v>
      </c>
      <c r="N233" s="129">
        <f t="shared" si="46"/>
        <v>0</v>
      </c>
      <c r="O233" s="547">
        <f t="shared" si="6"/>
        <v>0</v>
      </c>
      <c r="P233" s="130">
        <f t="shared" si="47"/>
        <v>0</v>
      </c>
      <c r="Q233" s="131">
        <f t="shared" si="48"/>
        <v>0</v>
      </c>
      <c r="R233" s="578">
        <f t="shared" si="40"/>
        <v>1</v>
      </c>
    </row>
    <row r="234" spans="1:18" s="57" customFormat="1" ht="24.9" customHeight="1" x14ac:dyDescent="0.25">
      <c r="A234" s="470" t="str">
        <f>'Kalk UHR GS Deisenhofen'!A234</f>
        <v>Schule</v>
      </c>
      <c r="B234" s="302" t="str">
        <f>'Kalk UHR GS Deisenhofen'!B234</f>
        <v>UG</v>
      </c>
      <c r="C234" s="302" t="str">
        <f>'Kalk UHR GS Deisenhofen'!C234</f>
        <v>U.C.F.08</v>
      </c>
      <c r="D234" s="302" t="str">
        <f>'Kalk UHR GS Deisenhofen'!D234</f>
        <v>Flur</v>
      </c>
      <c r="E234" s="302" t="str">
        <f>'Kalk UHR GS Deisenhofen'!E234</f>
        <v>Hartbelag</v>
      </c>
      <c r="F234" s="469" t="str">
        <f>'Kalk UHR GS Deisenhofen'!F234</f>
        <v>F1-M1</v>
      </c>
      <c r="G234" s="228" t="str">
        <f t="shared" si="38"/>
        <v>F1-J0,5</v>
      </c>
      <c r="H234" s="127">
        <f>'Kalk UHR GS Deisenhofen'!G234</f>
        <v>120.77</v>
      </c>
      <c r="I234" s="97" t="s">
        <v>909</v>
      </c>
      <c r="J234" s="328">
        <f>VLOOKUP(I234,Turnus!$D$9:$E$26,2,FALSE)</f>
        <v>0.5</v>
      </c>
      <c r="K234" s="127">
        <f t="shared" si="45"/>
        <v>60.384999999999998</v>
      </c>
      <c r="L234" s="128">
        <f>VLOOKUP($G234,'Leistungswerte GR Schulen'!$C$6:$F$53,4,FALSE)</f>
        <v>0</v>
      </c>
      <c r="M234" s="129">
        <f t="shared" si="39"/>
        <v>0</v>
      </c>
      <c r="N234" s="129">
        <f t="shared" si="46"/>
        <v>0</v>
      </c>
      <c r="O234" s="547">
        <f t="shared" si="6"/>
        <v>0</v>
      </c>
      <c r="P234" s="130">
        <f t="shared" si="47"/>
        <v>0</v>
      </c>
      <c r="Q234" s="131">
        <f t="shared" si="48"/>
        <v>0</v>
      </c>
      <c r="R234" s="578">
        <f t="shared" si="40"/>
        <v>1</v>
      </c>
    </row>
    <row r="235" spans="1:18" s="57" customFormat="1" ht="24.9" customHeight="1" x14ac:dyDescent="0.25">
      <c r="A235" s="470" t="str">
        <f>'Kalk UHR GS Deisenhofen'!A235</f>
        <v>Schule</v>
      </c>
      <c r="B235" s="302" t="str">
        <f>'Kalk UHR GS Deisenhofen'!B235</f>
        <v>UG</v>
      </c>
      <c r="C235" s="302" t="str">
        <f>'Kalk UHR GS Deisenhofen'!C235</f>
        <v>U.D.F.09</v>
      </c>
      <c r="D235" s="302" t="str">
        <f>'Kalk UHR GS Deisenhofen'!D235</f>
        <v>Flur</v>
      </c>
      <c r="E235" s="302" t="str">
        <f>'Kalk UHR GS Deisenhofen'!E235</f>
        <v>Estrich</v>
      </c>
      <c r="F235" s="469" t="str">
        <f>'Kalk UHR GS Deisenhofen'!F235</f>
        <v>F1-M1</v>
      </c>
      <c r="G235" s="228" t="str">
        <f t="shared" si="38"/>
        <v>F1-J0,5</v>
      </c>
      <c r="H235" s="127">
        <f>'Kalk UHR GS Deisenhofen'!G235</f>
        <v>36.54</v>
      </c>
      <c r="I235" s="97" t="s">
        <v>909</v>
      </c>
      <c r="J235" s="328">
        <f>VLOOKUP(I235,Turnus!$D$9:$E$26,2,FALSE)</f>
        <v>0.5</v>
      </c>
      <c r="K235" s="127">
        <f t="shared" si="45"/>
        <v>18.27</v>
      </c>
      <c r="L235" s="128">
        <f>VLOOKUP($G235,'Leistungswerte GR Schulen'!$C$6:$F$53,4,FALSE)</f>
        <v>0</v>
      </c>
      <c r="M235" s="129">
        <f t="shared" si="39"/>
        <v>0</v>
      </c>
      <c r="N235" s="129">
        <f t="shared" si="46"/>
        <v>0</v>
      </c>
      <c r="O235" s="547">
        <f t="shared" si="6"/>
        <v>0</v>
      </c>
      <c r="P235" s="130">
        <f t="shared" si="47"/>
        <v>0</v>
      </c>
      <c r="Q235" s="131">
        <f t="shared" si="48"/>
        <v>0</v>
      </c>
      <c r="R235" s="578">
        <f t="shared" si="40"/>
        <v>1</v>
      </c>
    </row>
    <row r="236" spans="1:18" s="57" customFormat="1" ht="24.9" customHeight="1" x14ac:dyDescent="0.25">
      <c r="A236" s="470" t="str">
        <f>'Kalk UHR GS Deisenhofen'!A236</f>
        <v>Schule</v>
      </c>
      <c r="B236" s="302" t="str">
        <f>'Kalk UHR GS Deisenhofen'!B236</f>
        <v>UG</v>
      </c>
      <c r="C236" s="302" t="str">
        <f>'Kalk UHR GS Deisenhofen'!C236</f>
        <v>U.D.24</v>
      </c>
      <c r="D236" s="302" t="str">
        <f>'Kalk UHR GS Deisenhofen'!D236</f>
        <v>Werkstatt</v>
      </c>
      <c r="E236" s="302" t="str">
        <f>'Kalk UHR GS Deisenhofen'!E236</f>
        <v>PVC</v>
      </c>
      <c r="F236" s="469" t="str">
        <f>'Kalk UHR GS Deisenhofen'!F236</f>
        <v>B1-M1</v>
      </c>
      <c r="G236" s="228" t="str">
        <f t="shared" si="38"/>
        <v>B1-J0,5</v>
      </c>
      <c r="H236" s="127">
        <f>'Kalk UHR GS Deisenhofen'!G236</f>
        <v>41.07</v>
      </c>
      <c r="I236" s="97" t="s">
        <v>909</v>
      </c>
      <c r="J236" s="328">
        <f>VLOOKUP(I236,Turnus!$D$9:$E$26,2,FALSE)</f>
        <v>0.5</v>
      </c>
      <c r="K236" s="127">
        <f t="shared" si="45"/>
        <v>20.535</v>
      </c>
      <c r="L236" s="128">
        <f>VLOOKUP($G236,'Leistungswerte GR Schulen'!$C$6:$F$53,4,FALSE)</f>
        <v>0</v>
      </c>
      <c r="M236" s="129">
        <f t="shared" si="39"/>
        <v>0</v>
      </c>
      <c r="N236" s="129">
        <f t="shared" si="46"/>
        <v>0</v>
      </c>
      <c r="O236" s="547">
        <f t="shared" si="6"/>
        <v>0</v>
      </c>
      <c r="P236" s="130">
        <f t="shared" si="47"/>
        <v>0</v>
      </c>
      <c r="Q236" s="131">
        <f t="shared" si="48"/>
        <v>0</v>
      </c>
      <c r="R236" s="578">
        <f t="shared" si="40"/>
        <v>1</v>
      </c>
    </row>
    <row r="237" spans="1:18" s="57" customFormat="1" ht="24.9" customHeight="1" x14ac:dyDescent="0.25">
      <c r="A237" s="470" t="str">
        <f>'Kalk UHR GS Deisenhofen'!A237</f>
        <v>Schule</v>
      </c>
      <c r="B237" s="302" t="str">
        <f>'Kalk UHR GS Deisenhofen'!B237</f>
        <v>UG</v>
      </c>
      <c r="C237" s="302" t="str">
        <f>'Kalk UHR GS Deisenhofen'!C237</f>
        <v>U.D.25</v>
      </c>
      <c r="D237" s="302" t="str">
        <f>'Kalk UHR GS Deisenhofen'!D237</f>
        <v>Lager</v>
      </c>
      <c r="E237" s="302" t="str">
        <f>'Kalk UHR GS Deisenhofen'!E237</f>
        <v>Hartbelag</v>
      </c>
      <c r="F237" s="469" t="str">
        <f>'Kalk UHR GS Deisenhofen'!F237</f>
        <v>L1-J1</v>
      </c>
      <c r="G237" s="414" t="str">
        <f t="shared" si="38"/>
        <v>L1-J0,5</v>
      </c>
      <c r="H237" s="127">
        <f>'Kalk UHR GS Deisenhofen'!G237</f>
        <v>21.69</v>
      </c>
      <c r="I237" s="97" t="s">
        <v>909</v>
      </c>
      <c r="J237" s="328">
        <f>VLOOKUP(I237,Turnus!$D$9:$E$26,2,FALSE)</f>
        <v>0.5</v>
      </c>
      <c r="K237" s="127">
        <f t="shared" si="41"/>
        <v>10.845000000000001</v>
      </c>
      <c r="L237" s="128">
        <f>VLOOKUP($G237,'Leistungswerte GR Schulen'!$C$6:$F$53,4,FALSE)</f>
        <v>0</v>
      </c>
      <c r="M237" s="129">
        <f t="shared" si="39"/>
        <v>0</v>
      </c>
      <c r="N237" s="129">
        <f t="shared" si="42"/>
        <v>0</v>
      </c>
      <c r="O237" s="547">
        <f t="shared" si="6"/>
        <v>0</v>
      </c>
      <c r="P237" s="130">
        <f t="shared" si="43"/>
        <v>0</v>
      </c>
      <c r="Q237" s="131">
        <f t="shared" si="44"/>
        <v>0</v>
      </c>
      <c r="R237" s="578">
        <f t="shared" si="40"/>
        <v>1</v>
      </c>
    </row>
    <row r="238" spans="1:18" s="57" customFormat="1" ht="24.9" customHeight="1" x14ac:dyDescent="0.25">
      <c r="A238" s="470" t="str">
        <f>'Kalk UHR GS Deisenhofen'!A238</f>
        <v>Schule</v>
      </c>
      <c r="B238" s="302" t="str">
        <f>'Kalk UHR GS Deisenhofen'!B238</f>
        <v>UG</v>
      </c>
      <c r="C238" s="302" t="str">
        <f>'Kalk UHR GS Deisenhofen'!C238</f>
        <v>U.D.T.08</v>
      </c>
      <c r="D238" s="302" t="str">
        <f>'Kalk UHR GS Deisenhofen'!D238</f>
        <v>Treppe</v>
      </c>
      <c r="E238" s="302" t="str">
        <f>'Kalk UHR GS Deisenhofen'!E238</f>
        <v>Naturstein</v>
      </c>
      <c r="F238" s="469" t="str">
        <f>'Kalk UHR GS Deisenhofen'!F238</f>
        <v>F3-M1</v>
      </c>
      <c r="G238" s="228" t="str">
        <f t="shared" si="38"/>
        <v>F3-J0,5</v>
      </c>
      <c r="H238" s="127">
        <f>'Kalk UHR GS Deisenhofen'!G238</f>
        <v>20.22</v>
      </c>
      <c r="I238" s="97" t="s">
        <v>909</v>
      </c>
      <c r="J238" s="328">
        <f>VLOOKUP(I238,Turnus!$D$9:$E$26,2,FALSE)</f>
        <v>0.5</v>
      </c>
      <c r="K238" s="127">
        <f t="shared" si="41"/>
        <v>10.11</v>
      </c>
      <c r="L238" s="128">
        <f>VLOOKUP($G238,'Leistungswerte GR Schulen'!$C$6:$F$53,4,FALSE)</f>
        <v>0</v>
      </c>
      <c r="M238" s="129">
        <f t="shared" si="39"/>
        <v>0</v>
      </c>
      <c r="N238" s="129">
        <f t="shared" si="42"/>
        <v>0</v>
      </c>
      <c r="O238" s="547">
        <f t="shared" si="6"/>
        <v>0</v>
      </c>
      <c r="P238" s="130">
        <f t="shared" si="43"/>
        <v>0</v>
      </c>
      <c r="Q238" s="131">
        <f t="shared" si="44"/>
        <v>0</v>
      </c>
      <c r="R238" s="578">
        <f t="shared" si="40"/>
        <v>1</v>
      </c>
    </row>
    <row r="239" spans="1:18" s="57" customFormat="1" ht="24.9" customHeight="1" x14ac:dyDescent="0.25">
      <c r="A239" s="533" t="str">
        <f>'Kalk UHR GS Deisenhofen'!A239</f>
        <v>Hort</v>
      </c>
      <c r="B239" s="302" t="str">
        <f>'Kalk UHR GS Deisenhofen'!B239</f>
        <v>UG</v>
      </c>
      <c r="C239" s="302" t="str">
        <f>'Kalk UHR GS Deisenhofen'!C239</f>
        <v>U.D.26</v>
      </c>
      <c r="D239" s="302" t="str">
        <f>'Kalk UHR GS Deisenhofen'!D239</f>
        <v>Lager Hort</v>
      </c>
      <c r="E239" s="302" t="str">
        <f>'Kalk UHR GS Deisenhofen'!E239</f>
        <v>PVC</v>
      </c>
      <c r="F239" s="469" t="str">
        <f>'Kalk UHR GS Deisenhofen'!F239</f>
        <v>L1-M1</v>
      </c>
      <c r="G239" s="228" t="str">
        <f t="shared" si="38"/>
        <v>L1-J0,5</v>
      </c>
      <c r="H239" s="127">
        <f>'Kalk UHR GS Deisenhofen'!G239</f>
        <v>21.47</v>
      </c>
      <c r="I239" s="97" t="s">
        <v>909</v>
      </c>
      <c r="J239" s="328">
        <f>VLOOKUP(I239,Turnus!$H$9:$I$26,2,FALSE)</f>
        <v>0.5</v>
      </c>
      <c r="K239" s="127">
        <f t="shared" si="41"/>
        <v>10.734999999999999</v>
      </c>
      <c r="L239" s="128">
        <f>VLOOKUP($G239,'Leistungswerte GR Kigas'!$C$6:$F$53,4,FALSE)</f>
        <v>0</v>
      </c>
      <c r="M239" s="129">
        <f t="shared" si="39"/>
        <v>0</v>
      </c>
      <c r="N239" s="129">
        <f t="shared" si="42"/>
        <v>0</v>
      </c>
      <c r="O239" s="547">
        <f t="shared" si="6"/>
        <v>0</v>
      </c>
      <c r="P239" s="130">
        <f t="shared" si="43"/>
        <v>0</v>
      </c>
      <c r="Q239" s="131">
        <f t="shared" si="44"/>
        <v>0</v>
      </c>
      <c r="R239" s="578">
        <f t="shared" si="40"/>
        <v>2</v>
      </c>
    </row>
    <row r="240" spans="1:18" s="57" customFormat="1" ht="24.9" customHeight="1" x14ac:dyDescent="0.25">
      <c r="A240" s="533" t="str">
        <f>'Kalk UHR GS Deisenhofen'!A240</f>
        <v>Hort</v>
      </c>
      <c r="B240" s="302" t="str">
        <f>'Kalk UHR GS Deisenhofen'!B240</f>
        <v>UG</v>
      </c>
      <c r="C240" s="302" t="str">
        <f>'Kalk UHR GS Deisenhofen'!C240</f>
        <v>U.D.27</v>
      </c>
      <c r="D240" s="302" t="str">
        <f>'Kalk UHR GS Deisenhofen'!D240</f>
        <v>Lager</v>
      </c>
      <c r="E240" s="302" t="str">
        <f>'Kalk UHR GS Deisenhofen'!E240</f>
        <v>Fliesen</v>
      </c>
      <c r="F240" s="469" t="str">
        <f>'Kalk UHR GS Deisenhofen'!F240</f>
        <v>L1-M1</v>
      </c>
      <c r="G240" s="228" t="str">
        <f t="shared" si="38"/>
        <v>L1-J0,5</v>
      </c>
      <c r="H240" s="127">
        <f>'Kalk UHR GS Deisenhofen'!G240</f>
        <v>23.73</v>
      </c>
      <c r="I240" s="97" t="s">
        <v>909</v>
      </c>
      <c r="J240" s="328">
        <f>VLOOKUP(I240,Turnus!$H$9:$I$26,2,FALSE)</f>
        <v>0.5</v>
      </c>
      <c r="K240" s="127">
        <f t="shared" si="41"/>
        <v>11.865</v>
      </c>
      <c r="L240" s="128">
        <f>VLOOKUP($G240,'Leistungswerte GR Kigas'!$C$6:$F$53,4,FALSE)</f>
        <v>0</v>
      </c>
      <c r="M240" s="129">
        <f t="shared" si="39"/>
        <v>0</v>
      </c>
      <c r="N240" s="129">
        <f t="shared" si="42"/>
        <v>0</v>
      </c>
      <c r="O240" s="547">
        <f t="shared" si="6"/>
        <v>0</v>
      </c>
      <c r="P240" s="130">
        <f t="shared" si="43"/>
        <v>0</v>
      </c>
      <c r="Q240" s="131">
        <f t="shared" si="44"/>
        <v>0</v>
      </c>
      <c r="R240" s="578">
        <f t="shared" si="40"/>
        <v>2</v>
      </c>
    </row>
    <row r="241" spans="1:18" s="57" customFormat="1" ht="24.9" customHeight="1" x14ac:dyDescent="0.25">
      <c r="A241" s="533" t="str">
        <f>'Kalk UHR GS Deisenhofen'!A241</f>
        <v>Hort</v>
      </c>
      <c r="B241" s="302" t="str">
        <f>'Kalk UHR GS Deisenhofen'!B241</f>
        <v>UG</v>
      </c>
      <c r="C241" s="302" t="str">
        <f>'Kalk UHR GS Deisenhofen'!C241</f>
        <v>U.D.28</v>
      </c>
      <c r="D241" s="302" t="str">
        <f>'Kalk UHR GS Deisenhofen'!D241</f>
        <v>Dusche Hort</v>
      </c>
      <c r="E241" s="302" t="str">
        <f>'Kalk UHR GS Deisenhofen'!E241</f>
        <v>Fliesen</v>
      </c>
      <c r="F241" s="469" t="str">
        <f>'Kalk UHR GS Deisenhofen'!F241</f>
        <v>D1-M1</v>
      </c>
      <c r="G241" s="228" t="str">
        <f t="shared" ref="G241:G251" si="49">CONCATENATE((LEFT(F241,2)),"-",I241)</f>
        <v>D1-J1</v>
      </c>
      <c r="H241" s="127">
        <f>'Kalk UHR GS Deisenhofen'!G241</f>
        <v>5.25</v>
      </c>
      <c r="I241" s="97" t="s">
        <v>54</v>
      </c>
      <c r="J241" s="328">
        <f>VLOOKUP(I241,Turnus!$H$9:$I$26,2,FALSE)</f>
        <v>1</v>
      </c>
      <c r="K241" s="127">
        <f t="shared" si="24"/>
        <v>5.25</v>
      </c>
      <c r="L241" s="128">
        <f>VLOOKUP($G241,'Leistungswerte GR Kigas'!$C$6:$F$53,4,FALSE)</f>
        <v>0</v>
      </c>
      <c r="M241" s="129">
        <f t="shared" si="39"/>
        <v>0</v>
      </c>
      <c r="N241" s="129">
        <f t="shared" si="25"/>
        <v>0</v>
      </c>
      <c r="O241" s="547">
        <f t="shared" si="6"/>
        <v>0</v>
      </c>
      <c r="P241" s="130">
        <f t="shared" si="26"/>
        <v>0</v>
      </c>
      <c r="Q241" s="131">
        <f t="shared" si="27"/>
        <v>0</v>
      </c>
      <c r="R241" s="578">
        <f t="shared" si="40"/>
        <v>2</v>
      </c>
    </row>
    <row r="242" spans="1:18" s="57" customFormat="1" ht="24.9" customHeight="1" x14ac:dyDescent="0.25">
      <c r="A242" s="533" t="str">
        <f>'Kalk UHR GS Deisenhofen'!A242</f>
        <v>Hort</v>
      </c>
      <c r="B242" s="302" t="str">
        <f>'Kalk UHR GS Deisenhofen'!B242</f>
        <v>UG</v>
      </c>
      <c r="C242" s="302" t="str">
        <f>'Kalk UHR GS Deisenhofen'!C242</f>
        <v>U.D.28a</v>
      </c>
      <c r="D242" s="302" t="str">
        <f>'Kalk UHR GS Deisenhofen'!D242</f>
        <v>Umkleide Hort</v>
      </c>
      <c r="E242" s="302" t="str">
        <f>'Kalk UHR GS Deisenhofen'!E242</f>
        <v>PVC</v>
      </c>
      <c r="F242" s="469" t="str">
        <f>'Kalk UHR GS Deisenhofen'!F242</f>
        <v>H1-M1</v>
      </c>
      <c r="G242" s="228" t="str">
        <f t="shared" si="49"/>
        <v>H1-J0,5</v>
      </c>
      <c r="H242" s="127">
        <f>'Kalk UHR GS Deisenhofen'!G242</f>
        <v>14.95</v>
      </c>
      <c r="I242" s="97" t="s">
        <v>909</v>
      </c>
      <c r="J242" s="328">
        <f>VLOOKUP(I242,Turnus!$H$9:$I$26,2,FALSE)</f>
        <v>0.5</v>
      </c>
      <c r="K242" s="127">
        <f t="shared" si="20"/>
        <v>7.4749999999999996</v>
      </c>
      <c r="L242" s="128">
        <f>VLOOKUP($G242,'Leistungswerte GR Kigas'!$C$6:$F$53,4,FALSE)</f>
        <v>0</v>
      </c>
      <c r="M242" s="129">
        <f t="shared" si="39"/>
        <v>0</v>
      </c>
      <c r="N242" s="129">
        <f t="shared" si="21"/>
        <v>0</v>
      </c>
      <c r="O242" s="547">
        <f t="shared" si="6"/>
        <v>0</v>
      </c>
      <c r="P242" s="130">
        <f t="shared" si="22"/>
        <v>0</v>
      </c>
      <c r="Q242" s="131">
        <f t="shared" si="23"/>
        <v>0</v>
      </c>
      <c r="R242" s="578">
        <f t="shared" si="40"/>
        <v>2</v>
      </c>
    </row>
    <row r="243" spans="1:18" s="57" customFormat="1" ht="24.9" customHeight="1" x14ac:dyDescent="0.25">
      <c r="A243" s="533" t="str">
        <f>'Kalk UHR GS Deisenhofen'!A243</f>
        <v>Hort</v>
      </c>
      <c r="B243" s="302" t="str">
        <f>'Kalk UHR GS Deisenhofen'!B243</f>
        <v>UG</v>
      </c>
      <c r="C243" s="302" t="str">
        <f>'Kalk UHR GS Deisenhofen'!C243</f>
        <v>U.D.29</v>
      </c>
      <c r="D243" s="302" t="str">
        <f>'Kalk UHR GS Deisenhofen'!D243</f>
        <v>Putzlager, Personalumkleide</v>
      </c>
      <c r="E243" s="302" t="str">
        <f>'Kalk UHR GS Deisenhofen'!E243</f>
        <v>Fliesen</v>
      </c>
      <c r="F243" s="469" t="str">
        <f>'Kalk UHR GS Deisenhofen'!F243</f>
        <v>Z-kR</v>
      </c>
      <c r="G243" s="228" t="str">
        <f t="shared" si="49"/>
        <v>Z--kR</v>
      </c>
      <c r="H243" s="127">
        <f>'Kalk UHR GS Deisenhofen'!G243</f>
        <v>23.7</v>
      </c>
      <c r="I243" s="97" t="s">
        <v>68</v>
      </c>
      <c r="J243" s="328">
        <f>VLOOKUP(I243,Turnus!$H$9:$I$26,2,FALSE)</f>
        <v>0</v>
      </c>
      <c r="K243" s="127">
        <f t="shared" si="20"/>
        <v>0</v>
      </c>
      <c r="L243" s="128">
        <f>VLOOKUP($G243,'Leistungswerte GR Kigas'!$C$6:$F$53,4,FALSE)</f>
        <v>0</v>
      </c>
      <c r="M243" s="129">
        <f t="shared" si="39"/>
        <v>0</v>
      </c>
      <c r="N243" s="129">
        <f t="shared" si="21"/>
        <v>0</v>
      </c>
      <c r="O243" s="547">
        <f t="shared" si="6"/>
        <v>0</v>
      </c>
      <c r="P243" s="130">
        <f t="shared" si="22"/>
        <v>0</v>
      </c>
      <c r="Q243" s="131">
        <f t="shared" si="23"/>
        <v>0</v>
      </c>
      <c r="R243" s="578">
        <f t="shared" si="40"/>
        <v>2</v>
      </c>
    </row>
    <row r="244" spans="1:18" s="57" customFormat="1" ht="24.9" customHeight="1" x14ac:dyDescent="0.25">
      <c r="A244" s="470" t="str">
        <f>'Kalk UHR GS Deisenhofen'!A244</f>
        <v>Schule</v>
      </c>
      <c r="B244" s="302" t="str">
        <f>'Kalk UHR GS Deisenhofen'!B244</f>
        <v>UG</v>
      </c>
      <c r="C244" s="302" t="str">
        <f>'Kalk UHR GS Deisenhofen'!C244</f>
        <v>U.D.30</v>
      </c>
      <c r="D244" s="302" t="str">
        <f>'Kalk UHR GS Deisenhofen'!D244</f>
        <v>Hausmeisterwerkstatt</v>
      </c>
      <c r="E244" s="302" t="str">
        <f>'Kalk UHR GS Deisenhofen'!E244</f>
        <v>Hartbelag</v>
      </c>
      <c r="F244" s="469" t="str">
        <f>'Kalk UHR GS Deisenhofen'!F244</f>
        <v>B1-M1</v>
      </c>
      <c r="G244" s="228" t="str">
        <f t="shared" si="49"/>
        <v>B1-J0,5</v>
      </c>
      <c r="H244" s="127">
        <f>'Kalk UHR GS Deisenhofen'!G244</f>
        <v>22.9</v>
      </c>
      <c r="I244" s="97" t="s">
        <v>909</v>
      </c>
      <c r="J244" s="328">
        <f>VLOOKUP(I244,Turnus!$D$9:$E$26,2,FALSE)</f>
        <v>0.5</v>
      </c>
      <c r="K244" s="127">
        <f t="shared" si="20"/>
        <v>11.45</v>
      </c>
      <c r="L244" s="128">
        <f>VLOOKUP($G244,'Leistungswerte GR Schulen'!$C$6:$F$53,4,FALSE)</f>
        <v>0</v>
      </c>
      <c r="M244" s="129">
        <f t="shared" si="39"/>
        <v>0</v>
      </c>
      <c r="N244" s="129">
        <f t="shared" si="21"/>
        <v>0</v>
      </c>
      <c r="O244" s="547">
        <f t="shared" si="6"/>
        <v>0</v>
      </c>
      <c r="P244" s="130">
        <f t="shared" si="22"/>
        <v>0</v>
      </c>
      <c r="Q244" s="131">
        <f t="shared" si="23"/>
        <v>0</v>
      </c>
      <c r="R244" s="578">
        <f t="shared" si="40"/>
        <v>1</v>
      </c>
    </row>
    <row r="245" spans="1:18" s="57" customFormat="1" ht="24.9" customHeight="1" x14ac:dyDescent="0.25">
      <c r="A245" s="470" t="str">
        <f>'Kalk UHR GS Deisenhofen'!A245</f>
        <v>Schule</v>
      </c>
      <c r="B245" s="302" t="str">
        <f>'Kalk UHR GS Deisenhofen'!B245</f>
        <v>UG</v>
      </c>
      <c r="C245" s="302" t="str">
        <f>'Kalk UHR GS Deisenhofen'!C245</f>
        <v>U.C.K.02</v>
      </c>
      <c r="D245" s="302" t="str">
        <f>'Kalk UHR GS Deisenhofen'!D245</f>
        <v>Kriechgang</v>
      </c>
      <c r="E245" s="302" t="str">
        <f>'Kalk UHR GS Deisenhofen'!E245</f>
        <v>Hartbelag</v>
      </c>
      <c r="F245" s="469" t="str">
        <f>'Kalk UHR GS Deisenhofen'!F245</f>
        <v>Z-kR</v>
      </c>
      <c r="G245" s="228" t="str">
        <f t="shared" si="49"/>
        <v>Z--kR</v>
      </c>
      <c r="H245" s="127">
        <f>'Kalk UHR GS Deisenhofen'!G245</f>
        <v>101.92</v>
      </c>
      <c r="I245" s="97" t="s">
        <v>68</v>
      </c>
      <c r="J245" s="328">
        <f>VLOOKUP(I245,Turnus!$D$9:$E$26,2,FALSE)</f>
        <v>0</v>
      </c>
      <c r="K245" s="127">
        <f t="shared" si="0"/>
        <v>0</v>
      </c>
      <c r="L245" s="128">
        <f>VLOOKUP($G245,'Leistungswerte GR Schulen'!$C$6:$F$53,4,FALSE)</f>
        <v>0</v>
      </c>
      <c r="M245" s="129">
        <f t="shared" si="39"/>
        <v>0</v>
      </c>
      <c r="N245" s="129">
        <f t="shared" si="1"/>
        <v>0</v>
      </c>
      <c r="O245" s="547">
        <f t="shared" si="6"/>
        <v>0</v>
      </c>
      <c r="P245" s="130">
        <f t="shared" si="2"/>
        <v>0</v>
      </c>
      <c r="Q245" s="131">
        <f t="shared" si="3"/>
        <v>0</v>
      </c>
      <c r="R245" s="578">
        <f t="shared" si="40"/>
        <v>1</v>
      </c>
    </row>
    <row r="246" spans="1:18" s="57" customFormat="1" ht="24.9" customHeight="1" x14ac:dyDescent="0.25">
      <c r="A246" s="470" t="str">
        <f>'Kalk UHR GS Deisenhofen'!A246</f>
        <v>Schule</v>
      </c>
      <c r="B246" s="302" t="str">
        <f>'Kalk UHR GS Deisenhofen'!B246</f>
        <v>UG</v>
      </c>
      <c r="C246" s="302" t="str">
        <f>'Kalk UHR GS Deisenhofen'!C246</f>
        <v>U.C.K.03</v>
      </c>
      <c r="D246" s="302" t="str">
        <f>'Kalk UHR GS Deisenhofen'!D246</f>
        <v>Technik Küche</v>
      </c>
      <c r="E246" s="302" t="str">
        <f>'Kalk UHR GS Deisenhofen'!E246</f>
        <v>Hartbelag</v>
      </c>
      <c r="F246" s="469" t="str">
        <f>'Kalk UHR GS Deisenhofen'!F246</f>
        <v>L3-J1</v>
      </c>
      <c r="G246" s="228" t="str">
        <f t="shared" si="49"/>
        <v>L3-J0,5</v>
      </c>
      <c r="H246" s="127">
        <f>'Kalk UHR GS Deisenhofen'!G246</f>
        <v>12.26</v>
      </c>
      <c r="I246" s="97" t="s">
        <v>909</v>
      </c>
      <c r="J246" s="328">
        <f>VLOOKUP(I246,Turnus!$D$9:$E$26,2,FALSE)</f>
        <v>0.5</v>
      </c>
      <c r="K246" s="127">
        <f t="shared" si="0"/>
        <v>6.13</v>
      </c>
      <c r="L246" s="128">
        <f>VLOOKUP($G246,'Leistungswerte GR Schulen'!$C$6:$F$53,4,FALSE)</f>
        <v>0</v>
      </c>
      <c r="M246" s="129">
        <f t="shared" si="39"/>
        <v>0</v>
      </c>
      <c r="N246" s="129">
        <f t="shared" si="1"/>
        <v>0</v>
      </c>
      <c r="O246" s="547">
        <f t="shared" si="6"/>
        <v>0</v>
      </c>
      <c r="P246" s="130">
        <f t="shared" si="2"/>
        <v>0</v>
      </c>
      <c r="Q246" s="131">
        <f t="shared" si="3"/>
        <v>0</v>
      </c>
      <c r="R246" s="578">
        <f t="shared" si="40"/>
        <v>1</v>
      </c>
    </row>
    <row r="247" spans="1:18" s="57" customFormat="1" ht="24.9" customHeight="1" x14ac:dyDescent="0.25">
      <c r="A247" s="470" t="str">
        <f>'Kalk UHR GS Deisenhofen'!A247</f>
        <v>Schule</v>
      </c>
      <c r="B247" s="302" t="str">
        <f>'Kalk UHR GS Deisenhofen'!B247</f>
        <v>UG</v>
      </c>
      <c r="C247" s="302" t="str">
        <f>'Kalk UHR GS Deisenhofen'!C247</f>
        <v>U.C.K.04</v>
      </c>
      <c r="D247" s="302" t="str">
        <f>'Kalk UHR GS Deisenhofen'!D247</f>
        <v>Kriechgang</v>
      </c>
      <c r="E247" s="302" t="str">
        <f>'Kalk UHR GS Deisenhofen'!E247</f>
        <v>Hartbelag</v>
      </c>
      <c r="F247" s="469" t="str">
        <f>'Kalk UHR GS Deisenhofen'!F247</f>
        <v>Z-kR</v>
      </c>
      <c r="G247" s="228" t="str">
        <f t="shared" si="49"/>
        <v>Z--kR</v>
      </c>
      <c r="H247" s="127">
        <f>'Kalk UHR GS Deisenhofen'!G247</f>
        <v>40.97</v>
      </c>
      <c r="I247" s="97" t="s">
        <v>68</v>
      </c>
      <c r="J247" s="328">
        <f>VLOOKUP(I247,Turnus!$D$9:$E$26,2,FALSE)</f>
        <v>0</v>
      </c>
      <c r="K247" s="127">
        <f t="shared" si="0"/>
        <v>0</v>
      </c>
      <c r="L247" s="128">
        <f>VLOOKUP($G247,'Leistungswerte GR Schulen'!$C$6:$F$53,4,FALSE)</f>
        <v>0</v>
      </c>
      <c r="M247" s="129">
        <f t="shared" si="39"/>
        <v>0</v>
      </c>
      <c r="N247" s="129">
        <f t="shared" si="1"/>
        <v>0</v>
      </c>
      <c r="O247" s="547">
        <f t="shared" si="6"/>
        <v>0</v>
      </c>
      <c r="P247" s="130">
        <f t="shared" si="2"/>
        <v>0</v>
      </c>
      <c r="Q247" s="131">
        <f t="shared" si="3"/>
        <v>0</v>
      </c>
      <c r="R247" s="578">
        <f t="shared" si="40"/>
        <v>1</v>
      </c>
    </row>
    <row r="248" spans="1:18" s="57" customFormat="1" ht="24.9" customHeight="1" x14ac:dyDescent="0.25">
      <c r="A248" s="470" t="str">
        <f>'Kalk UHR GS Deisenhofen'!A248</f>
        <v>Schule</v>
      </c>
      <c r="B248" s="302" t="str">
        <f>'Kalk UHR GS Deisenhofen'!B248</f>
        <v>UG</v>
      </c>
      <c r="C248" s="302" t="str">
        <f>'Kalk UHR GS Deisenhofen'!C248</f>
        <v>U.D.F.10</v>
      </c>
      <c r="D248" s="302" t="str">
        <f>'Kalk UHR GS Deisenhofen'!D248</f>
        <v>Flur</v>
      </c>
      <c r="E248" s="302" t="str">
        <f>'Kalk UHR GS Deisenhofen'!E248</f>
        <v>PVC</v>
      </c>
      <c r="F248" s="469" t="str">
        <f>'Kalk UHR GS Deisenhofen'!F248</f>
        <v>F1-M1</v>
      </c>
      <c r="G248" s="228" t="str">
        <f t="shared" si="49"/>
        <v>F1-J0,5</v>
      </c>
      <c r="H248" s="127">
        <f>'Kalk UHR GS Deisenhofen'!G248</f>
        <v>22.38</v>
      </c>
      <c r="I248" s="97" t="s">
        <v>909</v>
      </c>
      <c r="J248" s="328">
        <f>VLOOKUP(I248,Turnus!$D$9:$E$26,2,FALSE)</f>
        <v>0.5</v>
      </c>
      <c r="K248" s="127">
        <f t="shared" si="0"/>
        <v>11.19</v>
      </c>
      <c r="L248" s="128">
        <f>VLOOKUP($G248,'Leistungswerte GR Schulen'!$C$6:$F$53,4,FALSE)</f>
        <v>0</v>
      </c>
      <c r="M248" s="129">
        <f t="shared" si="39"/>
        <v>0</v>
      </c>
      <c r="N248" s="129">
        <f t="shared" si="1"/>
        <v>0</v>
      </c>
      <c r="O248" s="547">
        <f t="shared" si="6"/>
        <v>0</v>
      </c>
      <c r="P248" s="130">
        <f t="shared" si="2"/>
        <v>0</v>
      </c>
      <c r="Q248" s="131">
        <f t="shared" si="3"/>
        <v>0</v>
      </c>
      <c r="R248" s="578">
        <f t="shared" si="40"/>
        <v>1</v>
      </c>
    </row>
    <row r="249" spans="1:18" s="57" customFormat="1" ht="24.9" customHeight="1" x14ac:dyDescent="0.25">
      <c r="A249" s="470" t="str">
        <f>'Kalk UHR GS Deisenhofen'!A249</f>
        <v>Schule</v>
      </c>
      <c r="B249" s="302" t="str">
        <f>'Kalk UHR GS Deisenhofen'!B249</f>
        <v>UG</v>
      </c>
      <c r="C249" s="302" t="str">
        <f>'Kalk UHR GS Deisenhofen'!C249</f>
        <v>U.D.F.11</v>
      </c>
      <c r="D249" s="302" t="str">
        <f>'Kalk UHR GS Deisenhofen'!D249</f>
        <v>Flur</v>
      </c>
      <c r="E249" s="302" t="str">
        <f>'Kalk UHR GS Deisenhofen'!E249</f>
        <v>PVC</v>
      </c>
      <c r="F249" s="469" t="str">
        <f>'Kalk UHR GS Deisenhofen'!F249</f>
        <v>F1-M1</v>
      </c>
      <c r="G249" s="228" t="str">
        <f t="shared" si="49"/>
        <v>F1-J0,5</v>
      </c>
      <c r="H249" s="127">
        <f>'Kalk UHR GS Deisenhofen'!G249</f>
        <v>29.67</v>
      </c>
      <c r="I249" s="97" t="s">
        <v>909</v>
      </c>
      <c r="J249" s="328">
        <f>VLOOKUP(I249,Turnus!$D$9:$E$26,2,FALSE)</f>
        <v>0.5</v>
      </c>
      <c r="K249" s="127">
        <f t="shared" si="0"/>
        <v>14.835000000000001</v>
      </c>
      <c r="L249" s="128">
        <f>VLOOKUP($G249,'Leistungswerte GR Schulen'!$C$6:$F$53,4,FALSE)</f>
        <v>0</v>
      </c>
      <c r="M249" s="129">
        <f t="shared" si="39"/>
        <v>0</v>
      </c>
      <c r="N249" s="129">
        <f t="shared" si="1"/>
        <v>0</v>
      </c>
      <c r="O249" s="547">
        <f t="shared" si="6"/>
        <v>0</v>
      </c>
      <c r="P249" s="130">
        <f t="shared" si="2"/>
        <v>0</v>
      </c>
      <c r="Q249" s="131">
        <f t="shared" si="3"/>
        <v>0</v>
      </c>
      <c r="R249" s="578">
        <f t="shared" si="40"/>
        <v>1</v>
      </c>
    </row>
    <row r="250" spans="1:18" s="57" customFormat="1" ht="24.9" customHeight="1" x14ac:dyDescent="0.25">
      <c r="A250" s="470" t="str">
        <f>'Kalk UHR GS Deisenhofen'!A250</f>
        <v>Schule</v>
      </c>
      <c r="B250" s="302" t="str">
        <f>'Kalk UHR GS Deisenhofen'!B250</f>
        <v>UG</v>
      </c>
      <c r="C250" s="302" t="str">
        <f>'Kalk UHR GS Deisenhofen'!C250</f>
        <v>U.D.F.12</v>
      </c>
      <c r="D250" s="302" t="str">
        <f>'Kalk UHR GS Deisenhofen'!D250</f>
        <v>Flur</v>
      </c>
      <c r="E250" s="302" t="str">
        <f>'Kalk UHR GS Deisenhofen'!E250</f>
        <v>PVC</v>
      </c>
      <c r="F250" s="469" t="str">
        <f>'Kalk UHR GS Deisenhofen'!F250</f>
        <v>F1-M1</v>
      </c>
      <c r="G250" s="228" t="str">
        <f t="shared" si="49"/>
        <v>F1-J0,5</v>
      </c>
      <c r="H250" s="127">
        <f>'Kalk UHR GS Deisenhofen'!G250</f>
        <v>8.33</v>
      </c>
      <c r="I250" s="97" t="s">
        <v>909</v>
      </c>
      <c r="J250" s="328">
        <f>VLOOKUP(I250,Turnus!$D$9:$E$26,2,FALSE)</f>
        <v>0.5</v>
      </c>
      <c r="K250" s="127">
        <f t="shared" si="0"/>
        <v>4.165</v>
      </c>
      <c r="L250" s="128">
        <f>VLOOKUP($G250,'Leistungswerte GR Schulen'!$C$6:$F$53,4,FALSE)</f>
        <v>0</v>
      </c>
      <c r="M250" s="129">
        <f t="shared" si="39"/>
        <v>0</v>
      </c>
      <c r="N250" s="129">
        <f t="shared" si="1"/>
        <v>0</v>
      </c>
      <c r="O250" s="547">
        <f t="shared" si="6"/>
        <v>0</v>
      </c>
      <c r="P250" s="130">
        <f t="shared" si="2"/>
        <v>0</v>
      </c>
      <c r="Q250" s="131">
        <f t="shared" si="3"/>
        <v>0</v>
      </c>
      <c r="R250" s="578">
        <f t="shared" si="40"/>
        <v>1</v>
      </c>
    </row>
    <row r="251" spans="1:18" s="57" customFormat="1" ht="24.9" customHeight="1" x14ac:dyDescent="0.25">
      <c r="A251" s="470" t="str">
        <f>'Kalk UHR GS Deisenhofen'!A251</f>
        <v>Schule</v>
      </c>
      <c r="B251" s="302" t="str">
        <f>'Kalk UHR GS Deisenhofen'!B251</f>
        <v>UG</v>
      </c>
      <c r="C251" s="302" t="str">
        <f>'Kalk UHR GS Deisenhofen'!C251</f>
        <v>U.D.Z.02</v>
      </c>
      <c r="D251" s="302" t="str">
        <f>'Kalk UHR GS Deisenhofen'!D251</f>
        <v>Aufzug (Turnus siehe EG)</v>
      </c>
      <c r="E251" s="302" t="str">
        <f>'Kalk UHR GS Deisenhofen'!E251</f>
        <v>Naturstein</v>
      </c>
      <c r="F251" s="469" t="str">
        <f>'Kalk UHR GS Deisenhofen'!F251</f>
        <v>Z-kR</v>
      </c>
      <c r="G251" s="228" t="str">
        <f t="shared" si="49"/>
        <v>Z--kR</v>
      </c>
      <c r="H251" s="127">
        <f>'Kalk UHR GS Deisenhofen'!G251</f>
        <v>3.33</v>
      </c>
      <c r="I251" s="97" t="s">
        <v>68</v>
      </c>
      <c r="J251" s="328">
        <f>VLOOKUP(I251,Turnus!$D$9:$E$26,2,FALSE)</f>
        <v>0</v>
      </c>
      <c r="K251" s="127">
        <f t="shared" si="0"/>
        <v>0</v>
      </c>
      <c r="L251" s="128">
        <f>VLOOKUP($G251,'Leistungswerte GR Schulen'!$C$6:$F$53,4,FALSE)</f>
        <v>0</v>
      </c>
      <c r="M251" s="129">
        <f t="shared" si="39"/>
        <v>0</v>
      </c>
      <c r="N251" s="129">
        <f t="shared" si="1"/>
        <v>0</v>
      </c>
      <c r="O251" s="547">
        <f t="shared" si="6"/>
        <v>0</v>
      </c>
      <c r="P251" s="130">
        <f t="shared" si="2"/>
        <v>0</v>
      </c>
      <c r="Q251" s="131">
        <f t="shared" si="3"/>
        <v>0</v>
      </c>
      <c r="R251" s="578">
        <f t="shared" si="40"/>
        <v>1</v>
      </c>
    </row>
    <row r="252" spans="1:18" s="57" customFormat="1" ht="26.25" customHeight="1" x14ac:dyDescent="0.3">
      <c r="A252" s="54"/>
      <c r="B252" s="54"/>
      <c r="C252" s="54"/>
      <c r="D252" s="54"/>
      <c r="E252" s="54"/>
      <c r="F252" s="468"/>
      <c r="G252" s="54"/>
      <c r="H252" s="54"/>
      <c r="I252" s="55"/>
      <c r="J252" s="55"/>
      <c r="K252" s="55"/>
      <c r="L252" s="55"/>
      <c r="M252" s="553"/>
      <c r="N252" s="94"/>
      <c r="O252" s="99"/>
      <c r="P252" s="100"/>
      <c r="Q252" s="413"/>
    </row>
    <row r="253" spans="1:18" ht="20.25" customHeight="1" x14ac:dyDescent="0.2">
      <c r="N253" s="102"/>
      <c r="O253" s="103"/>
      <c r="P253" s="466"/>
      <c r="Q253" s="104"/>
    </row>
    <row r="254" spans="1:18" x14ac:dyDescent="0.2">
      <c r="B254" s="52"/>
      <c r="C254" s="52"/>
      <c r="D254" s="52"/>
      <c r="E254" s="59"/>
      <c r="F254" s="59"/>
      <c r="G254" s="59"/>
      <c r="J254" s="52"/>
      <c r="K254" s="52"/>
      <c r="L254" s="52"/>
      <c r="M254" s="52"/>
    </row>
    <row r="255" spans="1:18" ht="12.75" customHeight="1" x14ac:dyDescent="0.2">
      <c r="B255" s="52"/>
      <c r="C255" s="52"/>
      <c r="D255" s="52"/>
      <c r="E255" s="59"/>
      <c r="F255" s="59"/>
      <c r="G255" s="59"/>
      <c r="J255" s="52"/>
      <c r="K255" s="52"/>
      <c r="L255" s="52"/>
      <c r="M255" s="52"/>
    </row>
    <row r="256" spans="1:18" s="105" customFormat="1" ht="12.75" customHeight="1" x14ac:dyDescent="0.2">
      <c r="B256" s="52"/>
      <c r="C256" s="52"/>
      <c r="D256" s="52"/>
      <c r="E256" s="59"/>
      <c r="F256" s="59"/>
      <c r="G256" s="59"/>
      <c r="H256" s="59"/>
      <c r="I256" s="58"/>
      <c r="J256" s="52"/>
      <c r="K256" s="52"/>
      <c r="L256" s="52"/>
      <c r="M256" s="52"/>
      <c r="O256" s="106"/>
      <c r="P256" s="107"/>
      <c r="Q256" s="107"/>
      <c r="R256" s="52"/>
    </row>
    <row r="257" spans="2:18" s="105" customFormat="1" ht="12.75" customHeight="1" x14ac:dyDescent="0.2">
      <c r="B257" s="52"/>
      <c r="C257" s="52"/>
      <c r="D257" s="52"/>
      <c r="E257" s="59"/>
      <c r="F257" s="59"/>
      <c r="G257" s="59"/>
      <c r="H257" s="59"/>
      <c r="I257" s="58"/>
      <c r="J257" s="101"/>
      <c r="K257" s="101"/>
      <c r="L257" s="58"/>
      <c r="M257" s="58"/>
      <c r="O257" s="106"/>
      <c r="P257" s="107"/>
      <c r="Q257" s="107"/>
      <c r="R257" s="52"/>
    </row>
    <row r="258" spans="2:18" s="105" customFormat="1" ht="12.75" customHeight="1" x14ac:dyDescent="0.2">
      <c r="B258" s="52"/>
      <c r="C258" s="52"/>
      <c r="D258" s="52"/>
      <c r="E258" s="59"/>
      <c r="F258" s="59"/>
      <c r="G258" s="59"/>
      <c r="H258" s="59"/>
      <c r="I258" s="58"/>
      <c r="J258" s="101"/>
      <c r="K258" s="101"/>
      <c r="L258" s="58"/>
      <c r="M258" s="58"/>
      <c r="O258" s="106"/>
      <c r="P258" s="107"/>
      <c r="Q258" s="107"/>
      <c r="R258" s="52"/>
    </row>
    <row r="259" spans="2:18" s="105" customFormat="1" ht="12.75" customHeight="1" x14ac:dyDescent="0.2">
      <c r="B259" s="52"/>
      <c r="C259" s="52"/>
      <c r="D259" s="52"/>
      <c r="E259" s="59"/>
      <c r="F259" s="59"/>
      <c r="G259" s="59"/>
      <c r="H259" s="59"/>
      <c r="I259" s="58"/>
      <c r="J259" s="101"/>
      <c r="K259" s="101"/>
      <c r="L259" s="58"/>
      <c r="M259" s="58"/>
      <c r="O259" s="106"/>
      <c r="P259" s="107"/>
      <c r="Q259" s="107"/>
      <c r="R259" s="52"/>
    </row>
    <row r="260" spans="2:18" s="105" customFormat="1" x14ac:dyDescent="0.2">
      <c r="B260" s="52"/>
      <c r="C260" s="52"/>
      <c r="D260" s="52"/>
      <c r="E260" s="59"/>
      <c r="F260" s="59"/>
      <c r="G260" s="59"/>
      <c r="H260" s="59"/>
      <c r="I260" s="58"/>
      <c r="J260" s="101"/>
      <c r="K260" s="101"/>
      <c r="L260" s="58"/>
      <c r="M260" s="58"/>
      <c r="O260" s="106"/>
      <c r="P260" s="107"/>
      <c r="Q260" s="107"/>
      <c r="R260" s="52"/>
    </row>
    <row r="261" spans="2:18" s="105" customFormat="1" x14ac:dyDescent="0.2">
      <c r="B261" s="52"/>
      <c r="C261" s="52"/>
      <c r="D261" s="52"/>
      <c r="E261" s="59"/>
      <c r="F261" s="59"/>
      <c r="G261" s="59"/>
      <c r="H261" s="59"/>
      <c r="I261" s="58"/>
      <c r="J261" s="101"/>
      <c r="K261" s="101"/>
      <c r="L261" s="58"/>
      <c r="M261" s="58"/>
      <c r="O261" s="106"/>
      <c r="P261" s="107"/>
      <c r="Q261" s="107"/>
      <c r="R261" s="52"/>
    </row>
    <row r="262" spans="2:18" s="105" customFormat="1" x14ac:dyDescent="0.2">
      <c r="B262" s="59"/>
      <c r="C262" s="59"/>
      <c r="D262" s="59"/>
      <c r="E262" s="59"/>
      <c r="F262" s="59"/>
      <c r="G262" s="59"/>
      <c r="H262" s="59"/>
      <c r="I262" s="58"/>
      <c r="J262" s="101"/>
      <c r="K262" s="101"/>
      <c r="L262" s="58"/>
      <c r="M262" s="58"/>
      <c r="O262" s="106"/>
      <c r="P262" s="107"/>
      <c r="Q262" s="107"/>
      <c r="R262" s="52"/>
    </row>
    <row r="263" spans="2:18" s="105" customFormat="1" x14ac:dyDescent="0.2">
      <c r="B263" s="59"/>
      <c r="C263" s="59"/>
      <c r="D263" s="59"/>
      <c r="E263" s="59"/>
      <c r="F263" s="59"/>
      <c r="G263" s="59"/>
      <c r="H263" s="59"/>
      <c r="I263" s="58"/>
      <c r="J263" s="101"/>
      <c r="K263" s="101"/>
      <c r="L263" s="58"/>
      <c r="M263" s="58"/>
      <c r="O263" s="106"/>
      <c r="P263" s="107"/>
      <c r="Q263" s="107"/>
      <c r="R263" s="52"/>
    </row>
    <row r="264" spans="2:18" s="105" customFormat="1" x14ac:dyDescent="0.2">
      <c r="B264" s="59"/>
      <c r="C264" s="59"/>
      <c r="D264" s="59"/>
      <c r="E264" s="59"/>
      <c r="F264" s="59"/>
      <c r="G264" s="59"/>
      <c r="H264" s="59"/>
      <c r="I264" s="58"/>
      <c r="J264" s="101"/>
      <c r="K264" s="101"/>
      <c r="L264" s="58"/>
      <c r="M264" s="58"/>
      <c r="O264" s="106"/>
      <c r="P264" s="107"/>
      <c r="Q264" s="107"/>
      <c r="R264" s="52"/>
    </row>
    <row r="265" spans="2:18" s="105" customFormat="1" x14ac:dyDescent="0.2">
      <c r="B265" s="59"/>
      <c r="C265" s="59"/>
      <c r="D265" s="59"/>
      <c r="E265" s="59"/>
      <c r="F265" s="59"/>
      <c r="G265" s="59"/>
      <c r="H265" s="59"/>
      <c r="I265" s="58"/>
      <c r="J265" s="101"/>
      <c r="K265" s="101"/>
      <c r="L265" s="58"/>
      <c r="M265" s="58"/>
      <c r="O265" s="106"/>
      <c r="P265" s="107"/>
      <c r="Q265" s="107"/>
      <c r="R265" s="52"/>
    </row>
    <row r="266" spans="2:18" s="105" customFormat="1" x14ac:dyDescent="0.2">
      <c r="B266" s="59"/>
      <c r="C266" s="59"/>
      <c r="D266" s="59"/>
      <c r="E266" s="59"/>
      <c r="F266" s="59"/>
      <c r="G266" s="59"/>
      <c r="H266" s="59"/>
      <c r="I266" s="58"/>
      <c r="J266" s="101"/>
      <c r="K266" s="101"/>
      <c r="L266" s="58"/>
      <c r="M266" s="58"/>
      <c r="O266" s="106"/>
      <c r="P266" s="107"/>
      <c r="Q266" s="107"/>
      <c r="R266" s="52"/>
    </row>
    <row r="267" spans="2:18" s="105" customFormat="1" x14ac:dyDescent="0.2">
      <c r="B267" s="59"/>
      <c r="C267" s="59"/>
      <c r="D267" s="59"/>
      <c r="E267" s="59"/>
      <c r="F267" s="59"/>
      <c r="G267" s="59"/>
      <c r="H267" s="59"/>
      <c r="I267" s="58"/>
      <c r="J267" s="101"/>
      <c r="K267" s="101"/>
      <c r="L267" s="58"/>
      <c r="M267" s="58"/>
      <c r="O267" s="106"/>
      <c r="P267" s="107"/>
      <c r="Q267" s="107"/>
      <c r="R267" s="52"/>
    </row>
    <row r="268" spans="2:18" s="105" customFormat="1" x14ac:dyDescent="0.2">
      <c r="B268" s="59"/>
      <c r="C268" s="59"/>
      <c r="D268" s="59"/>
      <c r="E268" s="59"/>
      <c r="F268" s="59"/>
      <c r="G268" s="59"/>
      <c r="H268" s="59"/>
      <c r="I268" s="58"/>
      <c r="J268" s="101"/>
      <c r="K268" s="101"/>
      <c r="L268" s="58"/>
      <c r="M268" s="58"/>
      <c r="O268" s="106"/>
      <c r="P268" s="107"/>
      <c r="Q268" s="107"/>
      <c r="R268" s="52"/>
    </row>
    <row r="269" spans="2:18" s="105" customFormat="1" x14ac:dyDescent="0.2">
      <c r="B269" s="59"/>
      <c r="C269" s="59"/>
      <c r="D269" s="59"/>
      <c r="E269" s="59"/>
      <c r="F269" s="59"/>
      <c r="G269" s="59"/>
      <c r="H269" s="59"/>
      <c r="I269" s="58"/>
      <c r="J269" s="101"/>
      <c r="K269" s="101"/>
      <c r="L269" s="58"/>
      <c r="M269" s="58"/>
      <c r="O269" s="106"/>
      <c r="P269" s="107"/>
      <c r="Q269" s="107"/>
      <c r="R269" s="52"/>
    </row>
    <row r="270" spans="2:18" s="105" customFormat="1" x14ac:dyDescent="0.2">
      <c r="B270" s="59"/>
      <c r="C270" s="59"/>
      <c r="D270" s="59"/>
      <c r="E270" s="59"/>
      <c r="F270" s="59"/>
      <c r="G270" s="59"/>
      <c r="H270" s="59"/>
      <c r="I270" s="58"/>
      <c r="J270" s="101"/>
      <c r="K270" s="101"/>
      <c r="L270" s="58"/>
      <c r="M270" s="58"/>
      <c r="O270" s="106"/>
      <c r="P270" s="107"/>
      <c r="Q270" s="107"/>
      <c r="R270" s="52"/>
    </row>
    <row r="271" spans="2:18" s="105" customFormat="1" x14ac:dyDescent="0.2">
      <c r="B271" s="59"/>
      <c r="C271" s="59"/>
      <c r="D271" s="59"/>
      <c r="E271" s="59"/>
      <c r="F271" s="59"/>
      <c r="G271" s="59"/>
      <c r="H271" s="59"/>
      <c r="I271" s="58"/>
      <c r="J271" s="101"/>
      <c r="K271" s="101"/>
      <c r="L271" s="58"/>
      <c r="M271" s="58"/>
      <c r="O271" s="106"/>
      <c r="P271" s="107"/>
      <c r="Q271" s="107"/>
      <c r="R271" s="52"/>
    </row>
    <row r="272" spans="2:18" s="59" customFormat="1" x14ac:dyDescent="0.2">
      <c r="I272" s="58"/>
      <c r="J272" s="101"/>
      <c r="K272" s="101"/>
      <c r="L272" s="58"/>
      <c r="M272" s="58"/>
      <c r="N272" s="105"/>
      <c r="O272" s="106"/>
      <c r="P272" s="107"/>
      <c r="Q272" s="107"/>
      <c r="R272" s="52"/>
    </row>
    <row r="273" spans="9:18" s="59" customFormat="1" x14ac:dyDescent="0.2">
      <c r="I273" s="58"/>
      <c r="J273" s="101"/>
      <c r="K273" s="101"/>
      <c r="L273" s="58"/>
      <c r="M273" s="58"/>
      <c r="N273" s="105"/>
      <c r="O273" s="106"/>
      <c r="P273" s="107"/>
      <c r="Q273" s="107"/>
      <c r="R273" s="52"/>
    </row>
    <row r="274" spans="9:18" s="59" customFormat="1" x14ac:dyDescent="0.2">
      <c r="I274" s="58"/>
      <c r="J274" s="101"/>
      <c r="K274" s="101"/>
      <c r="L274" s="58"/>
      <c r="M274" s="58"/>
      <c r="N274" s="105"/>
      <c r="O274" s="106"/>
      <c r="P274" s="107"/>
      <c r="Q274" s="107"/>
      <c r="R274" s="52"/>
    </row>
    <row r="275" spans="9:18" s="59" customFormat="1" x14ac:dyDescent="0.2">
      <c r="I275" s="58"/>
      <c r="J275" s="101"/>
      <c r="K275" s="101"/>
      <c r="L275" s="58"/>
      <c r="M275" s="58"/>
      <c r="N275" s="105"/>
      <c r="O275" s="106"/>
      <c r="P275" s="107"/>
      <c r="Q275" s="107"/>
      <c r="R275" s="52"/>
    </row>
    <row r="276" spans="9:18" s="59" customFormat="1" x14ac:dyDescent="0.2">
      <c r="I276" s="58"/>
      <c r="J276" s="101"/>
      <c r="K276" s="101"/>
      <c r="L276" s="58"/>
      <c r="M276" s="58"/>
      <c r="N276" s="105"/>
      <c r="O276" s="106"/>
      <c r="P276" s="107"/>
      <c r="Q276" s="107"/>
      <c r="R276" s="52"/>
    </row>
    <row r="277" spans="9:18" s="59" customFormat="1" x14ac:dyDescent="0.2">
      <c r="I277" s="58"/>
      <c r="J277" s="101"/>
      <c r="K277" s="101"/>
      <c r="L277" s="58"/>
      <c r="M277" s="58"/>
      <c r="N277" s="105"/>
      <c r="O277" s="106"/>
      <c r="P277" s="107"/>
      <c r="Q277" s="107"/>
      <c r="R277" s="52"/>
    </row>
    <row r="278" spans="9:18" s="59" customFormat="1" x14ac:dyDescent="0.2">
      <c r="I278" s="58"/>
      <c r="J278" s="101"/>
      <c r="K278" s="101"/>
      <c r="L278" s="58"/>
      <c r="M278" s="58"/>
      <c r="N278" s="105"/>
      <c r="O278" s="106"/>
      <c r="P278" s="107"/>
      <c r="Q278" s="107"/>
      <c r="R278" s="52"/>
    </row>
    <row r="279" spans="9:18" s="59" customFormat="1" x14ac:dyDescent="0.2">
      <c r="I279" s="58"/>
      <c r="J279" s="101"/>
      <c r="K279" s="101"/>
      <c r="L279" s="58"/>
      <c r="M279" s="58"/>
      <c r="N279" s="105"/>
      <c r="O279" s="106"/>
      <c r="P279" s="107"/>
      <c r="Q279" s="107"/>
      <c r="R279" s="52"/>
    </row>
    <row r="280" spans="9:18" s="59" customFormat="1" x14ac:dyDescent="0.2">
      <c r="I280" s="58"/>
      <c r="J280" s="101"/>
      <c r="K280" s="101"/>
      <c r="L280" s="58"/>
      <c r="M280" s="58"/>
      <c r="N280" s="105"/>
      <c r="O280" s="106"/>
      <c r="P280" s="107"/>
      <c r="Q280" s="107"/>
      <c r="R280" s="52"/>
    </row>
    <row r="281" spans="9:18" s="59" customFormat="1" x14ac:dyDescent="0.2">
      <c r="I281" s="58"/>
      <c r="J281" s="101"/>
      <c r="K281" s="101"/>
      <c r="L281" s="58"/>
      <c r="M281" s="58"/>
      <c r="N281" s="105"/>
      <c r="O281" s="106"/>
      <c r="P281" s="107"/>
      <c r="Q281" s="107"/>
      <c r="R281" s="52"/>
    </row>
    <row r="282" spans="9:18" s="59" customFormat="1" x14ac:dyDescent="0.2">
      <c r="I282" s="58"/>
      <c r="J282" s="101"/>
      <c r="K282" s="101"/>
      <c r="L282" s="58"/>
      <c r="M282" s="58"/>
      <c r="N282" s="105"/>
      <c r="O282" s="106"/>
      <c r="P282" s="107"/>
      <c r="Q282" s="107"/>
      <c r="R282" s="52"/>
    </row>
    <row r="283" spans="9:18" s="59" customFormat="1" x14ac:dyDescent="0.2">
      <c r="I283" s="58"/>
      <c r="J283" s="101"/>
      <c r="K283" s="101"/>
      <c r="L283" s="58"/>
      <c r="M283" s="58"/>
      <c r="N283" s="105"/>
      <c r="O283" s="106"/>
      <c r="P283" s="107"/>
      <c r="Q283" s="107"/>
      <c r="R283" s="52"/>
    </row>
    <row r="284" spans="9:18" s="59" customFormat="1" x14ac:dyDescent="0.2">
      <c r="I284" s="58"/>
      <c r="J284" s="101"/>
      <c r="K284" s="101"/>
      <c r="L284" s="58"/>
      <c r="M284" s="58"/>
      <c r="N284" s="105"/>
      <c r="O284" s="106"/>
      <c r="P284" s="107"/>
      <c r="Q284" s="107"/>
      <c r="R284" s="52"/>
    </row>
    <row r="285" spans="9:18" s="59" customFormat="1" x14ac:dyDescent="0.2">
      <c r="I285" s="58"/>
      <c r="J285" s="101"/>
      <c r="K285" s="101"/>
      <c r="L285" s="58"/>
      <c r="M285" s="58"/>
      <c r="N285" s="105"/>
      <c r="O285" s="106"/>
      <c r="P285" s="107"/>
      <c r="Q285" s="107"/>
      <c r="R285" s="52"/>
    </row>
    <row r="286" spans="9:18" s="59" customFormat="1" x14ac:dyDescent="0.2">
      <c r="I286" s="58"/>
      <c r="J286" s="101"/>
      <c r="K286" s="101"/>
      <c r="L286" s="58"/>
      <c r="M286" s="58"/>
      <c r="N286" s="105"/>
      <c r="O286" s="106"/>
      <c r="P286" s="107"/>
      <c r="Q286" s="107"/>
      <c r="R286" s="52"/>
    </row>
    <row r="287" spans="9:18" s="59" customFormat="1" x14ac:dyDescent="0.2">
      <c r="I287" s="58"/>
      <c r="J287" s="101"/>
      <c r="K287" s="101"/>
      <c r="L287" s="58"/>
      <c r="M287" s="58"/>
      <c r="N287" s="105"/>
      <c r="O287" s="106"/>
      <c r="P287" s="107"/>
      <c r="Q287" s="107"/>
      <c r="R287" s="52"/>
    </row>
    <row r="288" spans="9:18" s="59" customFormat="1" x14ac:dyDescent="0.2">
      <c r="I288" s="58"/>
      <c r="J288" s="101"/>
      <c r="K288" s="101"/>
      <c r="L288" s="58"/>
      <c r="M288" s="58"/>
      <c r="N288" s="105"/>
      <c r="O288" s="106"/>
      <c r="P288" s="107"/>
      <c r="Q288" s="107"/>
      <c r="R288" s="52"/>
    </row>
    <row r="289" spans="9:18" s="59" customFormat="1" x14ac:dyDescent="0.2">
      <c r="I289" s="58"/>
      <c r="J289" s="101"/>
      <c r="K289" s="101"/>
      <c r="L289" s="58"/>
      <c r="M289" s="58"/>
      <c r="N289" s="105"/>
      <c r="O289" s="106"/>
      <c r="P289" s="107"/>
      <c r="Q289" s="107"/>
      <c r="R289" s="52"/>
    </row>
    <row r="290" spans="9:18" s="59" customFormat="1" x14ac:dyDescent="0.2">
      <c r="I290" s="58"/>
      <c r="J290" s="101"/>
      <c r="K290" s="101"/>
      <c r="L290" s="58"/>
      <c r="M290" s="58"/>
      <c r="N290" s="105"/>
      <c r="O290" s="106"/>
      <c r="P290" s="107"/>
      <c r="Q290" s="107"/>
      <c r="R290" s="52"/>
    </row>
    <row r="291" spans="9:18" s="59" customFormat="1" x14ac:dyDescent="0.2">
      <c r="I291" s="58"/>
      <c r="J291" s="101"/>
      <c r="K291" s="101"/>
      <c r="L291" s="58"/>
      <c r="M291" s="58"/>
      <c r="N291" s="105"/>
      <c r="O291" s="106"/>
      <c r="P291" s="107"/>
      <c r="Q291" s="107"/>
      <c r="R291" s="52"/>
    </row>
    <row r="292" spans="9:18" s="59" customFormat="1" x14ac:dyDescent="0.2">
      <c r="I292" s="58"/>
      <c r="J292" s="101"/>
      <c r="K292" s="101"/>
      <c r="L292" s="58"/>
      <c r="M292" s="58"/>
      <c r="N292" s="105"/>
      <c r="O292" s="106"/>
      <c r="P292" s="107"/>
      <c r="Q292" s="107"/>
      <c r="R292" s="52"/>
    </row>
    <row r="293" spans="9:18" s="59" customFormat="1" x14ac:dyDescent="0.2">
      <c r="I293" s="58"/>
      <c r="J293" s="101"/>
      <c r="K293" s="101"/>
      <c r="L293" s="58"/>
      <c r="M293" s="58"/>
      <c r="N293" s="105"/>
      <c r="O293" s="106"/>
      <c r="P293" s="107"/>
      <c r="Q293" s="107"/>
      <c r="R293" s="52"/>
    </row>
    <row r="294" spans="9:18" s="59" customFormat="1" x14ac:dyDescent="0.2">
      <c r="I294" s="58"/>
      <c r="J294" s="101"/>
      <c r="K294" s="101"/>
      <c r="L294" s="58"/>
      <c r="M294" s="58"/>
      <c r="N294" s="105"/>
      <c r="O294" s="106"/>
      <c r="P294" s="107"/>
      <c r="Q294" s="107"/>
      <c r="R294" s="52"/>
    </row>
    <row r="295" spans="9:18" s="59" customFormat="1" x14ac:dyDescent="0.2">
      <c r="I295" s="58"/>
      <c r="J295" s="101"/>
      <c r="K295" s="101"/>
      <c r="L295" s="58"/>
      <c r="M295" s="58"/>
      <c r="N295" s="105"/>
      <c r="O295" s="106"/>
      <c r="P295" s="107"/>
      <c r="Q295" s="107"/>
      <c r="R295" s="52"/>
    </row>
    <row r="296" spans="9:18" s="59" customFormat="1" x14ac:dyDescent="0.2">
      <c r="I296" s="58"/>
      <c r="J296" s="101"/>
      <c r="K296" s="101"/>
      <c r="L296" s="58"/>
      <c r="M296" s="58"/>
      <c r="N296" s="105"/>
      <c r="O296" s="106"/>
      <c r="P296" s="107"/>
      <c r="Q296" s="107"/>
      <c r="R296" s="52"/>
    </row>
    <row r="297" spans="9:18" s="59" customFormat="1" x14ac:dyDescent="0.2">
      <c r="I297" s="58"/>
      <c r="J297" s="101"/>
      <c r="K297" s="101"/>
      <c r="L297" s="58"/>
      <c r="M297" s="58"/>
      <c r="N297" s="105"/>
      <c r="O297" s="106"/>
      <c r="P297" s="107"/>
      <c r="Q297" s="107"/>
      <c r="R297" s="52"/>
    </row>
    <row r="298" spans="9:18" s="59" customFormat="1" x14ac:dyDescent="0.2">
      <c r="I298" s="58"/>
      <c r="J298" s="101"/>
      <c r="K298" s="101"/>
      <c r="L298" s="58"/>
      <c r="M298" s="58"/>
      <c r="N298" s="105"/>
      <c r="O298" s="106"/>
      <c r="P298" s="107"/>
      <c r="Q298" s="107"/>
      <c r="R298" s="52"/>
    </row>
    <row r="299" spans="9:18" s="59" customFormat="1" x14ac:dyDescent="0.2">
      <c r="I299" s="58"/>
      <c r="J299" s="101"/>
      <c r="K299" s="101"/>
      <c r="L299" s="58"/>
      <c r="M299" s="58"/>
      <c r="N299" s="105"/>
      <c r="O299" s="106"/>
      <c r="P299" s="107"/>
      <c r="Q299" s="107"/>
      <c r="R299" s="52"/>
    </row>
    <row r="300" spans="9:18" s="59" customFormat="1" x14ac:dyDescent="0.2">
      <c r="I300" s="58"/>
      <c r="J300" s="101"/>
      <c r="K300" s="101"/>
      <c r="L300" s="58"/>
      <c r="M300" s="58"/>
      <c r="N300" s="105"/>
      <c r="O300" s="106"/>
      <c r="P300" s="107"/>
      <c r="Q300" s="107"/>
      <c r="R300" s="52"/>
    </row>
    <row r="301" spans="9:18" s="59" customFormat="1" x14ac:dyDescent="0.2">
      <c r="I301" s="58"/>
      <c r="J301" s="101"/>
      <c r="K301" s="101"/>
      <c r="L301" s="58"/>
      <c r="M301" s="58"/>
      <c r="N301" s="105"/>
      <c r="O301" s="106"/>
      <c r="P301" s="107"/>
      <c r="Q301" s="107"/>
      <c r="R301" s="52"/>
    </row>
    <row r="302" spans="9:18" s="59" customFormat="1" x14ac:dyDescent="0.2">
      <c r="I302" s="58"/>
      <c r="J302" s="101"/>
      <c r="K302" s="101"/>
      <c r="L302" s="58"/>
      <c r="M302" s="58"/>
      <c r="N302" s="105"/>
      <c r="O302" s="106"/>
      <c r="P302" s="107"/>
      <c r="Q302" s="107"/>
      <c r="R302" s="52"/>
    </row>
    <row r="303" spans="9:18" s="59" customFormat="1" x14ac:dyDescent="0.2">
      <c r="I303" s="58"/>
      <c r="J303" s="101"/>
      <c r="K303" s="101"/>
      <c r="L303" s="58"/>
      <c r="M303" s="58"/>
      <c r="N303" s="105"/>
      <c r="O303" s="106"/>
      <c r="P303" s="107"/>
      <c r="Q303" s="107"/>
      <c r="R303" s="52"/>
    </row>
    <row r="304" spans="9:18" s="59" customFormat="1" x14ac:dyDescent="0.2">
      <c r="I304" s="58"/>
      <c r="J304" s="101"/>
      <c r="K304" s="101"/>
      <c r="L304" s="58"/>
      <c r="M304" s="58"/>
      <c r="N304" s="105"/>
      <c r="O304" s="106"/>
      <c r="P304" s="107"/>
      <c r="Q304" s="107"/>
      <c r="R304" s="52"/>
    </row>
    <row r="305" spans="9:18" s="59" customFormat="1" x14ac:dyDescent="0.2">
      <c r="I305" s="58"/>
      <c r="J305" s="101"/>
      <c r="K305" s="101"/>
      <c r="L305" s="58"/>
      <c r="M305" s="58"/>
      <c r="N305" s="105"/>
      <c r="O305" s="106"/>
      <c r="P305" s="107"/>
      <c r="Q305" s="107"/>
      <c r="R305" s="52"/>
    </row>
    <row r="306" spans="9:18" s="59" customFormat="1" x14ac:dyDescent="0.2">
      <c r="I306" s="58"/>
      <c r="J306" s="101"/>
      <c r="K306" s="101"/>
      <c r="L306" s="58"/>
      <c r="M306" s="58"/>
      <c r="N306" s="105"/>
      <c r="O306" s="106"/>
      <c r="P306" s="107"/>
      <c r="Q306" s="107"/>
      <c r="R306" s="52"/>
    </row>
    <row r="307" spans="9:18" s="59" customFormat="1" x14ac:dyDescent="0.2">
      <c r="I307" s="58"/>
      <c r="J307" s="101"/>
      <c r="K307" s="101"/>
      <c r="L307" s="58"/>
      <c r="M307" s="58"/>
      <c r="N307" s="105"/>
      <c r="O307" s="106"/>
      <c r="P307" s="107"/>
      <c r="Q307" s="107"/>
      <c r="R307" s="52"/>
    </row>
    <row r="308" spans="9:18" s="59" customFormat="1" x14ac:dyDescent="0.2">
      <c r="I308" s="58"/>
      <c r="J308" s="101"/>
      <c r="K308" s="101"/>
      <c r="L308" s="58"/>
      <c r="M308" s="58"/>
      <c r="N308" s="105"/>
      <c r="O308" s="106"/>
      <c r="P308" s="107"/>
      <c r="Q308" s="107"/>
      <c r="R308" s="52"/>
    </row>
    <row r="309" spans="9:18" s="59" customFormat="1" x14ac:dyDescent="0.2">
      <c r="I309" s="58"/>
      <c r="J309" s="101"/>
      <c r="K309" s="101"/>
      <c r="L309" s="58"/>
      <c r="M309" s="58"/>
      <c r="N309" s="105"/>
      <c r="O309" s="106"/>
      <c r="P309" s="107"/>
      <c r="Q309" s="107"/>
      <c r="R309" s="52"/>
    </row>
    <row r="310" spans="9:18" s="59" customFormat="1" x14ac:dyDescent="0.2">
      <c r="I310" s="58"/>
      <c r="J310" s="101"/>
      <c r="K310" s="101"/>
      <c r="L310" s="58"/>
      <c r="M310" s="58"/>
      <c r="N310" s="105"/>
      <c r="O310" s="106"/>
      <c r="P310" s="107"/>
      <c r="Q310" s="107"/>
      <c r="R310" s="52"/>
    </row>
    <row r="311" spans="9:18" s="59" customFormat="1" x14ac:dyDescent="0.2">
      <c r="I311" s="58"/>
      <c r="J311" s="101"/>
      <c r="K311" s="101"/>
      <c r="L311" s="58"/>
      <c r="M311" s="58"/>
      <c r="N311" s="105"/>
      <c r="O311" s="106"/>
      <c r="P311" s="107"/>
      <c r="Q311" s="107"/>
      <c r="R311" s="52"/>
    </row>
    <row r="312" spans="9:18" s="59" customFormat="1" x14ac:dyDescent="0.2">
      <c r="I312" s="58"/>
      <c r="J312" s="101"/>
      <c r="K312" s="101"/>
      <c r="L312" s="58"/>
      <c r="M312" s="58"/>
      <c r="N312" s="105"/>
      <c r="O312" s="106"/>
      <c r="P312" s="107"/>
      <c r="Q312" s="107"/>
      <c r="R312" s="52"/>
    </row>
    <row r="313" spans="9:18" s="59" customFormat="1" x14ac:dyDescent="0.2">
      <c r="I313" s="58"/>
      <c r="J313" s="101"/>
      <c r="K313" s="101"/>
      <c r="L313" s="58"/>
      <c r="M313" s="58"/>
      <c r="N313" s="105"/>
      <c r="O313" s="106"/>
      <c r="P313" s="107"/>
      <c r="Q313" s="107"/>
      <c r="R313" s="52"/>
    </row>
    <row r="314" spans="9:18" s="59" customFormat="1" x14ac:dyDescent="0.2">
      <c r="I314" s="58"/>
      <c r="J314" s="101"/>
      <c r="K314" s="101"/>
      <c r="L314" s="58"/>
      <c r="M314" s="58"/>
      <c r="N314" s="105"/>
      <c r="O314" s="106"/>
      <c r="P314" s="107"/>
      <c r="Q314" s="107"/>
      <c r="R314" s="52"/>
    </row>
    <row r="315" spans="9:18" s="59" customFormat="1" x14ac:dyDescent="0.2">
      <c r="I315" s="58"/>
      <c r="J315" s="101"/>
      <c r="K315" s="101"/>
      <c r="L315" s="58"/>
      <c r="M315" s="58"/>
      <c r="N315" s="105"/>
      <c r="O315" s="106"/>
      <c r="P315" s="107"/>
      <c r="Q315" s="107"/>
      <c r="R315" s="52"/>
    </row>
    <row r="316" spans="9:18" s="59" customFormat="1" x14ac:dyDescent="0.2">
      <c r="I316" s="58"/>
      <c r="J316" s="101"/>
      <c r="K316" s="101"/>
      <c r="L316" s="58"/>
      <c r="M316" s="58"/>
      <c r="N316" s="105"/>
      <c r="O316" s="106"/>
      <c r="P316" s="107"/>
      <c r="Q316" s="107"/>
      <c r="R316" s="52"/>
    </row>
    <row r="317" spans="9:18" s="59" customFormat="1" x14ac:dyDescent="0.2">
      <c r="I317" s="58"/>
      <c r="J317" s="101"/>
      <c r="K317" s="101"/>
      <c r="L317" s="58"/>
      <c r="M317" s="58"/>
      <c r="N317" s="105"/>
      <c r="O317" s="106"/>
      <c r="P317" s="107"/>
      <c r="Q317" s="107"/>
      <c r="R317" s="52"/>
    </row>
    <row r="318" spans="9:18" s="59" customFormat="1" x14ac:dyDescent="0.2">
      <c r="I318" s="58"/>
      <c r="J318" s="101"/>
      <c r="K318" s="101"/>
      <c r="L318" s="58"/>
      <c r="M318" s="58"/>
      <c r="N318" s="105"/>
      <c r="O318" s="106"/>
      <c r="P318" s="107"/>
      <c r="Q318" s="107"/>
      <c r="R318" s="52"/>
    </row>
    <row r="319" spans="9:18" s="59" customFormat="1" x14ac:dyDescent="0.2">
      <c r="I319" s="58"/>
      <c r="J319" s="101"/>
      <c r="K319" s="101"/>
      <c r="L319" s="58"/>
      <c r="M319" s="58"/>
      <c r="N319" s="105"/>
      <c r="O319" s="106"/>
      <c r="P319" s="107"/>
      <c r="Q319" s="107"/>
      <c r="R319" s="52"/>
    </row>
    <row r="320" spans="9:18" s="59" customFormat="1" x14ac:dyDescent="0.2">
      <c r="I320" s="58"/>
      <c r="J320" s="101"/>
      <c r="K320" s="101"/>
      <c r="L320" s="58"/>
      <c r="M320" s="58"/>
      <c r="N320" s="105"/>
      <c r="O320" s="106"/>
      <c r="P320" s="107"/>
      <c r="Q320" s="107"/>
      <c r="R320" s="52"/>
    </row>
    <row r="321" spans="9:18" s="59" customFormat="1" x14ac:dyDescent="0.2">
      <c r="I321" s="58"/>
      <c r="J321" s="101"/>
      <c r="K321" s="101"/>
      <c r="L321" s="58"/>
      <c r="M321" s="58"/>
      <c r="N321" s="105"/>
      <c r="O321" s="106"/>
      <c r="P321" s="107"/>
      <c r="Q321" s="107"/>
      <c r="R321" s="52"/>
    </row>
    <row r="322" spans="9:18" s="59" customFormat="1" x14ac:dyDescent="0.2">
      <c r="I322" s="58"/>
      <c r="J322" s="101"/>
      <c r="K322" s="101"/>
      <c r="L322" s="58"/>
      <c r="M322" s="58"/>
      <c r="N322" s="105"/>
      <c r="O322" s="106"/>
      <c r="P322" s="107"/>
      <c r="Q322" s="107"/>
      <c r="R322" s="52"/>
    </row>
    <row r="323" spans="9:18" s="59" customFormat="1" x14ac:dyDescent="0.2">
      <c r="I323" s="58"/>
      <c r="J323" s="101"/>
      <c r="K323" s="101"/>
      <c r="L323" s="58"/>
      <c r="M323" s="58"/>
      <c r="N323" s="105"/>
      <c r="O323" s="106"/>
      <c r="P323" s="107"/>
      <c r="Q323" s="107"/>
      <c r="R323" s="52"/>
    </row>
    <row r="324" spans="9:18" s="59" customFormat="1" x14ac:dyDescent="0.2">
      <c r="I324" s="58"/>
      <c r="J324" s="101"/>
      <c r="K324" s="101"/>
      <c r="L324" s="58"/>
      <c r="M324" s="58"/>
      <c r="N324" s="105"/>
      <c r="O324" s="106"/>
      <c r="P324" s="107"/>
      <c r="Q324" s="107"/>
      <c r="R324" s="52"/>
    </row>
    <row r="325" spans="9:18" s="59" customFormat="1" x14ac:dyDescent="0.2">
      <c r="I325" s="58"/>
      <c r="J325" s="101"/>
      <c r="K325" s="101"/>
      <c r="L325" s="58"/>
      <c r="M325" s="58"/>
      <c r="N325" s="105"/>
      <c r="O325" s="106"/>
      <c r="P325" s="107"/>
      <c r="Q325" s="107"/>
      <c r="R325" s="52"/>
    </row>
    <row r="326" spans="9:18" s="59" customFormat="1" x14ac:dyDescent="0.2">
      <c r="I326" s="58"/>
      <c r="J326" s="101"/>
      <c r="K326" s="101"/>
      <c r="L326" s="58"/>
      <c r="M326" s="58"/>
      <c r="N326" s="105"/>
      <c r="O326" s="106"/>
      <c r="P326" s="107"/>
      <c r="Q326" s="107"/>
      <c r="R326" s="52"/>
    </row>
    <row r="327" spans="9:18" s="59" customFormat="1" x14ac:dyDescent="0.2">
      <c r="I327" s="58"/>
      <c r="J327" s="101"/>
      <c r="K327" s="101"/>
      <c r="L327" s="58"/>
      <c r="M327" s="58"/>
      <c r="N327" s="105"/>
      <c r="O327" s="106"/>
      <c r="P327" s="107"/>
      <c r="Q327" s="107"/>
      <c r="R327" s="52"/>
    </row>
    <row r="328" spans="9:18" s="59" customFormat="1" x14ac:dyDescent="0.2">
      <c r="I328" s="58"/>
      <c r="J328" s="101"/>
      <c r="K328" s="101"/>
      <c r="L328" s="58"/>
      <c r="M328" s="58"/>
      <c r="N328" s="105"/>
      <c r="O328" s="106"/>
      <c r="P328" s="107"/>
      <c r="Q328" s="107"/>
      <c r="R328" s="52"/>
    </row>
    <row r="329" spans="9:18" s="59" customFormat="1" x14ac:dyDescent="0.2">
      <c r="I329" s="58"/>
      <c r="J329" s="101"/>
      <c r="K329" s="101"/>
      <c r="L329" s="58"/>
      <c r="M329" s="58"/>
      <c r="N329" s="105"/>
      <c r="O329" s="106"/>
      <c r="P329" s="107"/>
      <c r="Q329" s="107"/>
      <c r="R329" s="52"/>
    </row>
    <row r="330" spans="9:18" s="59" customFormat="1" x14ac:dyDescent="0.2">
      <c r="I330" s="58"/>
      <c r="J330" s="101"/>
      <c r="K330" s="101"/>
      <c r="L330" s="58"/>
      <c r="M330" s="58"/>
      <c r="N330" s="105"/>
      <c r="O330" s="106"/>
      <c r="P330" s="107"/>
      <c r="Q330" s="107"/>
      <c r="R330" s="52"/>
    </row>
    <row r="331" spans="9:18" s="59" customFormat="1" x14ac:dyDescent="0.2">
      <c r="I331" s="58"/>
      <c r="J331" s="101"/>
      <c r="K331" s="101"/>
      <c r="L331" s="58"/>
      <c r="M331" s="58"/>
      <c r="N331" s="105"/>
      <c r="O331" s="106"/>
      <c r="P331" s="107"/>
      <c r="Q331" s="107"/>
      <c r="R331" s="52"/>
    </row>
    <row r="332" spans="9:18" s="59" customFormat="1" x14ac:dyDescent="0.2">
      <c r="I332" s="58"/>
      <c r="J332" s="101"/>
      <c r="K332" s="101"/>
      <c r="L332" s="58"/>
      <c r="M332" s="58"/>
      <c r="N332" s="105"/>
      <c r="O332" s="106"/>
      <c r="P332" s="107"/>
      <c r="Q332" s="107"/>
      <c r="R332" s="52"/>
    </row>
    <row r="333" spans="9:18" s="59" customFormat="1" x14ac:dyDescent="0.2">
      <c r="I333" s="58"/>
      <c r="J333" s="101"/>
      <c r="K333" s="101"/>
      <c r="L333" s="58"/>
      <c r="M333" s="58"/>
      <c r="N333" s="105"/>
      <c r="O333" s="106"/>
      <c r="P333" s="107"/>
      <c r="Q333" s="107"/>
      <c r="R333" s="52"/>
    </row>
    <row r="334" spans="9:18" s="59" customFormat="1" x14ac:dyDescent="0.2">
      <c r="I334" s="58"/>
      <c r="J334" s="101"/>
      <c r="K334" s="101"/>
      <c r="L334" s="58"/>
      <c r="M334" s="58"/>
      <c r="N334" s="105"/>
      <c r="O334" s="106"/>
      <c r="P334" s="107"/>
      <c r="Q334" s="107"/>
      <c r="R334" s="52"/>
    </row>
    <row r="335" spans="9:18" s="59" customFormat="1" x14ac:dyDescent="0.2">
      <c r="I335" s="58"/>
      <c r="J335" s="101"/>
      <c r="K335" s="101"/>
      <c r="L335" s="58"/>
      <c r="M335" s="58"/>
      <c r="N335" s="105"/>
      <c r="O335" s="106"/>
      <c r="P335" s="107"/>
      <c r="Q335" s="107"/>
      <c r="R335" s="52"/>
    </row>
    <row r="336" spans="9:18" s="59" customFormat="1" x14ac:dyDescent="0.2">
      <c r="I336" s="58"/>
      <c r="J336" s="101"/>
      <c r="K336" s="101"/>
      <c r="L336" s="58"/>
      <c r="M336" s="58"/>
      <c r="N336" s="105"/>
      <c r="O336" s="106"/>
      <c r="P336" s="107"/>
      <c r="Q336" s="107"/>
      <c r="R336" s="52"/>
    </row>
    <row r="337" spans="9:18" s="59" customFormat="1" x14ac:dyDescent="0.2">
      <c r="I337" s="58"/>
      <c r="J337" s="101"/>
      <c r="K337" s="101"/>
      <c r="L337" s="58"/>
      <c r="M337" s="58"/>
      <c r="N337" s="105"/>
      <c r="O337" s="106"/>
      <c r="P337" s="107"/>
      <c r="Q337" s="107"/>
      <c r="R337" s="52"/>
    </row>
    <row r="338" spans="9:18" s="59" customFormat="1" x14ac:dyDescent="0.2">
      <c r="I338" s="58"/>
      <c r="J338" s="101"/>
      <c r="K338" s="101"/>
      <c r="L338" s="58"/>
      <c r="M338" s="58"/>
      <c r="N338" s="105"/>
      <c r="O338" s="106"/>
      <c r="P338" s="107"/>
      <c r="Q338" s="107"/>
      <c r="R338" s="52"/>
    </row>
    <row r="339" spans="9:18" s="59" customFormat="1" x14ac:dyDescent="0.2">
      <c r="I339" s="58"/>
      <c r="J339" s="101"/>
      <c r="K339" s="101"/>
      <c r="L339" s="58"/>
      <c r="M339" s="58"/>
      <c r="N339" s="105"/>
      <c r="O339" s="106"/>
      <c r="P339" s="107"/>
      <c r="Q339" s="107"/>
      <c r="R339" s="52"/>
    </row>
    <row r="340" spans="9:18" s="59" customFormat="1" x14ac:dyDescent="0.2">
      <c r="I340" s="58"/>
      <c r="J340" s="101"/>
      <c r="K340" s="101"/>
      <c r="L340" s="58"/>
      <c r="M340" s="58"/>
      <c r="N340" s="105"/>
      <c r="O340" s="106"/>
      <c r="P340" s="107"/>
      <c r="Q340" s="107"/>
      <c r="R340" s="52"/>
    </row>
    <row r="341" spans="9:18" s="59" customFormat="1" x14ac:dyDescent="0.2">
      <c r="I341" s="58"/>
      <c r="J341" s="101"/>
      <c r="K341" s="101"/>
      <c r="L341" s="58"/>
      <c r="M341" s="58"/>
      <c r="N341" s="105"/>
      <c r="O341" s="106"/>
      <c r="P341" s="107"/>
      <c r="Q341" s="107"/>
      <c r="R341" s="52"/>
    </row>
    <row r="342" spans="9:18" s="59" customFormat="1" x14ac:dyDescent="0.2">
      <c r="I342" s="58"/>
      <c r="J342" s="101"/>
      <c r="K342" s="101"/>
      <c r="L342" s="58"/>
      <c r="M342" s="58"/>
      <c r="N342" s="105"/>
      <c r="O342" s="106"/>
      <c r="P342" s="107"/>
      <c r="Q342" s="107"/>
      <c r="R342" s="52"/>
    </row>
    <row r="343" spans="9:18" s="59" customFormat="1" x14ac:dyDescent="0.2">
      <c r="I343" s="58"/>
      <c r="J343" s="101"/>
      <c r="K343" s="101"/>
      <c r="L343" s="58"/>
      <c r="M343" s="58"/>
      <c r="N343" s="105"/>
      <c r="O343" s="106"/>
      <c r="P343" s="107"/>
      <c r="Q343" s="107"/>
      <c r="R343" s="52"/>
    </row>
    <row r="344" spans="9:18" s="59" customFormat="1" x14ac:dyDescent="0.2">
      <c r="I344" s="58"/>
      <c r="J344" s="101"/>
      <c r="K344" s="101"/>
      <c r="L344" s="58"/>
      <c r="M344" s="58"/>
      <c r="N344" s="105"/>
      <c r="O344" s="106"/>
      <c r="P344" s="107"/>
      <c r="Q344" s="107"/>
      <c r="R344" s="52"/>
    </row>
    <row r="345" spans="9:18" s="59" customFormat="1" x14ac:dyDescent="0.2">
      <c r="I345" s="58"/>
      <c r="J345" s="101"/>
      <c r="K345" s="101"/>
      <c r="L345" s="58"/>
      <c r="M345" s="58"/>
      <c r="N345" s="105"/>
      <c r="O345" s="106"/>
      <c r="P345" s="107"/>
      <c r="Q345" s="107"/>
      <c r="R345" s="52"/>
    </row>
    <row r="346" spans="9:18" s="59" customFormat="1" x14ac:dyDescent="0.2">
      <c r="I346" s="58"/>
      <c r="J346" s="101"/>
      <c r="K346" s="101"/>
      <c r="L346" s="58"/>
      <c r="M346" s="58"/>
      <c r="N346" s="105"/>
      <c r="O346" s="106"/>
      <c r="P346" s="107"/>
      <c r="Q346" s="107"/>
      <c r="R346" s="52"/>
    </row>
    <row r="347" spans="9:18" s="59" customFormat="1" x14ac:dyDescent="0.2">
      <c r="I347" s="58"/>
      <c r="J347" s="101"/>
      <c r="K347" s="101"/>
      <c r="L347" s="58"/>
      <c r="M347" s="58"/>
      <c r="N347" s="105"/>
      <c r="O347" s="106"/>
      <c r="P347" s="107"/>
      <c r="Q347" s="107"/>
      <c r="R347" s="52"/>
    </row>
    <row r="348" spans="9:18" s="59" customFormat="1" x14ac:dyDescent="0.2">
      <c r="I348" s="58"/>
      <c r="J348" s="101"/>
      <c r="K348" s="101"/>
      <c r="L348" s="58"/>
      <c r="M348" s="58"/>
      <c r="N348" s="105"/>
      <c r="O348" s="106"/>
      <c r="P348" s="107"/>
      <c r="Q348" s="107"/>
      <c r="R348" s="52"/>
    </row>
    <row r="349" spans="9:18" s="59" customFormat="1" x14ac:dyDescent="0.2">
      <c r="I349" s="58"/>
      <c r="J349" s="101"/>
      <c r="K349" s="101"/>
      <c r="L349" s="58"/>
      <c r="M349" s="58"/>
      <c r="N349" s="105"/>
      <c r="O349" s="106"/>
      <c r="P349" s="107"/>
      <c r="Q349" s="107"/>
      <c r="R349" s="52"/>
    </row>
    <row r="350" spans="9:18" s="59" customFormat="1" x14ac:dyDescent="0.2">
      <c r="I350" s="58"/>
      <c r="J350" s="101"/>
      <c r="K350" s="101"/>
      <c r="L350" s="58"/>
      <c r="M350" s="58"/>
      <c r="N350" s="105"/>
      <c r="O350" s="106"/>
      <c r="P350" s="107"/>
      <c r="Q350" s="107"/>
      <c r="R350" s="52"/>
    </row>
    <row r="351" spans="9:18" s="59" customFormat="1" x14ac:dyDescent="0.2">
      <c r="I351" s="58"/>
      <c r="J351" s="101"/>
      <c r="K351" s="101"/>
      <c r="L351" s="58"/>
      <c r="M351" s="58"/>
      <c r="N351" s="105"/>
      <c r="O351" s="106"/>
      <c r="P351" s="107"/>
      <c r="Q351" s="107"/>
      <c r="R351" s="52"/>
    </row>
    <row r="352" spans="9:18" s="59" customFormat="1" x14ac:dyDescent="0.2">
      <c r="I352" s="58"/>
      <c r="J352" s="101"/>
      <c r="K352" s="101"/>
      <c r="L352" s="58"/>
      <c r="M352" s="58"/>
      <c r="N352" s="105"/>
      <c r="O352" s="106"/>
      <c r="P352" s="107"/>
      <c r="Q352" s="107"/>
      <c r="R352" s="52"/>
    </row>
    <row r="353" spans="9:18" s="59" customFormat="1" x14ac:dyDescent="0.2">
      <c r="I353" s="58"/>
      <c r="J353" s="101"/>
      <c r="K353" s="101"/>
      <c r="L353" s="58"/>
      <c r="M353" s="58"/>
      <c r="N353" s="105"/>
      <c r="O353" s="106"/>
      <c r="P353" s="107"/>
      <c r="Q353" s="107"/>
      <c r="R353" s="52"/>
    </row>
    <row r="354" spans="9:18" s="59" customFormat="1" x14ac:dyDescent="0.2">
      <c r="I354" s="58"/>
      <c r="J354" s="101"/>
      <c r="K354" s="101"/>
      <c r="L354" s="58"/>
      <c r="M354" s="58"/>
      <c r="N354" s="105"/>
      <c r="O354" s="106"/>
      <c r="P354" s="107"/>
      <c r="Q354" s="107"/>
      <c r="R354" s="52"/>
    </row>
    <row r="355" spans="9:18" s="59" customFormat="1" x14ac:dyDescent="0.2">
      <c r="I355" s="58"/>
      <c r="J355" s="101"/>
      <c r="K355" s="101"/>
      <c r="L355" s="58"/>
      <c r="M355" s="58"/>
      <c r="N355" s="105"/>
      <c r="O355" s="106"/>
      <c r="P355" s="107"/>
      <c r="Q355" s="107"/>
      <c r="R355" s="52"/>
    </row>
    <row r="356" spans="9:18" s="59" customFormat="1" x14ac:dyDescent="0.2">
      <c r="I356" s="58"/>
      <c r="J356" s="101"/>
      <c r="K356" s="101"/>
      <c r="L356" s="58"/>
      <c r="M356" s="58"/>
      <c r="N356" s="105"/>
      <c r="O356" s="106"/>
      <c r="P356" s="107"/>
      <c r="Q356" s="107"/>
      <c r="R356" s="52"/>
    </row>
    <row r="357" spans="9:18" s="59" customFormat="1" x14ac:dyDescent="0.2">
      <c r="I357" s="58"/>
      <c r="J357" s="101"/>
      <c r="K357" s="101"/>
      <c r="L357" s="58"/>
      <c r="M357" s="58"/>
      <c r="N357" s="105"/>
      <c r="O357" s="106"/>
      <c r="P357" s="107"/>
      <c r="Q357" s="107"/>
      <c r="R357" s="52"/>
    </row>
    <row r="358" spans="9:18" s="59" customFormat="1" x14ac:dyDescent="0.2">
      <c r="I358" s="58"/>
      <c r="J358" s="101"/>
      <c r="K358" s="101"/>
      <c r="L358" s="58"/>
      <c r="M358" s="58"/>
      <c r="N358" s="105"/>
      <c r="O358" s="106"/>
      <c r="P358" s="107"/>
      <c r="Q358" s="107"/>
      <c r="R358" s="52"/>
    </row>
    <row r="359" spans="9:18" s="59" customFormat="1" x14ac:dyDescent="0.2">
      <c r="I359" s="58"/>
      <c r="J359" s="101"/>
      <c r="K359" s="101"/>
      <c r="L359" s="58"/>
      <c r="M359" s="58"/>
      <c r="N359" s="105"/>
      <c r="O359" s="106"/>
      <c r="P359" s="107"/>
      <c r="Q359" s="107"/>
      <c r="R359" s="52"/>
    </row>
    <row r="360" spans="9:18" s="59" customFormat="1" x14ac:dyDescent="0.2">
      <c r="I360" s="58"/>
      <c r="J360" s="101"/>
      <c r="K360" s="101"/>
      <c r="L360" s="58"/>
      <c r="M360" s="58"/>
      <c r="N360" s="105"/>
      <c r="O360" s="106"/>
      <c r="P360" s="107"/>
      <c r="Q360" s="107"/>
      <c r="R360" s="52"/>
    </row>
    <row r="361" spans="9:18" s="59" customFormat="1" x14ac:dyDescent="0.2">
      <c r="I361" s="58"/>
      <c r="J361" s="101"/>
      <c r="K361" s="101"/>
      <c r="L361" s="58"/>
      <c r="M361" s="58"/>
      <c r="N361" s="105"/>
      <c r="O361" s="106"/>
      <c r="P361" s="107"/>
      <c r="Q361" s="107"/>
      <c r="R361" s="52"/>
    </row>
    <row r="362" spans="9:18" s="59" customFormat="1" x14ac:dyDescent="0.2">
      <c r="I362" s="58"/>
      <c r="J362" s="101"/>
      <c r="K362" s="101"/>
      <c r="L362" s="58"/>
      <c r="M362" s="58"/>
      <c r="N362" s="105"/>
      <c r="O362" s="106"/>
      <c r="P362" s="107"/>
      <c r="Q362" s="107"/>
      <c r="R362" s="52"/>
    </row>
    <row r="363" spans="9:18" s="59" customFormat="1" x14ac:dyDescent="0.2">
      <c r="I363" s="58"/>
      <c r="J363" s="101"/>
      <c r="K363" s="101"/>
      <c r="L363" s="58"/>
      <c r="M363" s="58"/>
      <c r="N363" s="105"/>
      <c r="O363" s="106"/>
      <c r="P363" s="107"/>
      <c r="Q363" s="107"/>
      <c r="R363" s="52"/>
    </row>
    <row r="364" spans="9:18" s="59" customFormat="1" x14ac:dyDescent="0.2">
      <c r="I364" s="58"/>
      <c r="J364" s="101"/>
      <c r="K364" s="101"/>
      <c r="L364" s="58"/>
      <c r="M364" s="58"/>
      <c r="N364" s="105"/>
      <c r="O364" s="106"/>
      <c r="P364" s="107"/>
      <c r="Q364" s="107"/>
      <c r="R364" s="52"/>
    </row>
    <row r="365" spans="9:18" s="59" customFormat="1" x14ac:dyDescent="0.2">
      <c r="I365" s="58"/>
      <c r="J365" s="101"/>
      <c r="K365" s="101"/>
      <c r="L365" s="58"/>
      <c r="M365" s="58"/>
      <c r="N365" s="105"/>
      <c r="O365" s="106"/>
      <c r="P365" s="107"/>
      <c r="Q365" s="107"/>
      <c r="R365" s="52"/>
    </row>
    <row r="366" spans="9:18" s="59" customFormat="1" x14ac:dyDescent="0.2">
      <c r="I366" s="58"/>
      <c r="J366" s="101"/>
      <c r="K366" s="101"/>
      <c r="L366" s="58"/>
      <c r="M366" s="58"/>
      <c r="N366" s="105"/>
      <c r="O366" s="106"/>
      <c r="P366" s="107"/>
      <c r="Q366" s="107"/>
      <c r="R366" s="52"/>
    </row>
    <row r="367" spans="9:18" s="59" customFormat="1" x14ac:dyDescent="0.2">
      <c r="I367" s="58"/>
      <c r="J367" s="101"/>
      <c r="K367" s="101"/>
      <c r="L367" s="58"/>
      <c r="M367" s="58"/>
      <c r="N367" s="105"/>
      <c r="O367" s="106"/>
      <c r="P367" s="107"/>
      <c r="Q367" s="107"/>
      <c r="R367" s="52"/>
    </row>
    <row r="368" spans="9:18" s="59" customFormat="1" x14ac:dyDescent="0.2">
      <c r="I368" s="58"/>
      <c r="J368" s="101"/>
      <c r="K368" s="101"/>
      <c r="L368" s="58"/>
      <c r="M368" s="58"/>
      <c r="N368" s="105"/>
      <c r="O368" s="106"/>
      <c r="P368" s="107"/>
      <c r="Q368" s="107"/>
      <c r="R368" s="52"/>
    </row>
    <row r="369" spans="9:18" s="59" customFormat="1" x14ac:dyDescent="0.2">
      <c r="I369" s="58"/>
      <c r="J369" s="101"/>
      <c r="K369" s="101"/>
      <c r="L369" s="58"/>
      <c r="M369" s="58"/>
      <c r="N369" s="105"/>
      <c r="O369" s="106"/>
      <c r="P369" s="107"/>
      <c r="Q369" s="107"/>
      <c r="R369" s="52"/>
    </row>
    <row r="370" spans="9:18" s="59" customFormat="1" x14ac:dyDescent="0.2">
      <c r="I370" s="58"/>
      <c r="J370" s="101"/>
      <c r="K370" s="101"/>
      <c r="L370" s="58"/>
      <c r="M370" s="58"/>
      <c r="N370" s="105"/>
      <c r="O370" s="106"/>
      <c r="P370" s="107"/>
      <c r="Q370" s="107"/>
      <c r="R370" s="52"/>
    </row>
    <row r="371" spans="9:18" s="59" customFormat="1" x14ac:dyDescent="0.2">
      <c r="I371" s="58"/>
      <c r="J371" s="101"/>
      <c r="K371" s="101"/>
      <c r="L371" s="58"/>
      <c r="M371" s="58"/>
      <c r="N371" s="105"/>
      <c r="O371" s="106"/>
      <c r="P371" s="107"/>
      <c r="Q371" s="107"/>
      <c r="R371" s="52"/>
    </row>
  </sheetData>
  <sheetProtection selectLockedCells="1"/>
  <autoFilter ref="A7:R251" xr:uid="{A93795F9-FA55-42D4-A384-CE877B48F306}"/>
  <mergeCells count="3">
    <mergeCell ref="A1:Q1"/>
    <mergeCell ref="J2:O2"/>
    <mergeCell ref="E3:L4"/>
  </mergeCells>
  <phoneticPr fontId="50" type="noConversion"/>
  <printOptions horizontalCentered="1"/>
  <pageMargins left="0.19685039370078741" right="0.19685039370078741" top="0.78740157480314965" bottom="0.78740157480314965" header="0.51181102362204722" footer="0.51181102362204722"/>
  <pageSetup paperSize="8" scale="83" fitToHeight="0" orientation="landscape" r:id="rId1"/>
  <headerFooter alignWithMargins="0">
    <oddHeader>&amp;CAusschreibung Reinigung Gemeinde Oberhaching 2026</oddHeader>
    <oddFooter>&amp;CSeite &amp;P von &amp;N Seiten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89707-D51D-430B-860F-9594BAD7D950}">
  <sheetPr codeName="Tabelle13">
    <tabColor theme="4" tint="0.59999389629810485"/>
    <pageSetUpPr fitToPage="1"/>
  </sheetPr>
  <dimension ref="A1:U253"/>
  <sheetViews>
    <sheetView zoomScale="80" zoomScaleNormal="80" zoomScalePageLayoutView="70" workbookViewId="0">
      <selection activeCell="E6" sqref="E6"/>
    </sheetView>
  </sheetViews>
  <sheetFormatPr baseColWidth="10" defaultRowHeight="12.6" x14ac:dyDescent="0.2"/>
  <cols>
    <col min="1" max="1" width="13.44140625" style="52" customWidth="1"/>
    <col min="2" max="2" width="12.5546875" style="52" customWidth="1"/>
    <col min="3" max="3" width="10.88671875" style="177" customWidth="1"/>
    <col min="4" max="4" width="30.44140625" style="177" customWidth="1"/>
    <col min="5" max="5" width="13.33203125" style="58" customWidth="1"/>
    <col min="6" max="6" width="10.5546875" style="105" hidden="1" customWidth="1"/>
    <col min="7" max="7" width="11.6640625" style="105" customWidth="1"/>
    <col min="8" max="8" width="14.109375" style="58" customWidth="1"/>
    <col min="9" max="9" width="10.5546875" style="52" hidden="1" customWidth="1"/>
    <col min="10" max="10" width="11.6640625" style="52" customWidth="1"/>
    <col min="11" max="11" width="14.44140625" style="52" customWidth="1"/>
    <col min="12" max="12" width="13.6640625" style="107" customWidth="1"/>
    <col min="13" max="13" width="10.44140625" style="107" hidden="1" customWidth="1"/>
    <col min="14" max="14" width="12.33203125" style="107" customWidth="1"/>
    <col min="15" max="15" width="19.77734375" style="107" customWidth="1"/>
    <col min="16" max="17" width="11.5546875" style="52"/>
    <col min="18" max="18" width="13.88671875" style="52" bestFit="1" customWidth="1"/>
    <col min="19" max="255" width="11.5546875" style="52"/>
    <col min="256" max="256" width="8.33203125" style="52" customWidth="1"/>
    <col min="257" max="257" width="21.109375" style="52" bestFit="1" customWidth="1"/>
    <col min="258" max="258" width="7.88671875" style="52" customWidth="1"/>
    <col min="259" max="259" width="23.5546875" style="52" bestFit="1" customWidth="1"/>
    <col min="260" max="260" width="10.33203125" style="52" customWidth="1"/>
    <col min="261" max="261" width="13.109375" style="52" customWidth="1"/>
    <col min="262" max="263" width="9.88671875" style="52" customWidth="1"/>
    <col min="264" max="264" width="15.5546875" style="52" bestFit="1" customWidth="1"/>
    <col min="265" max="266" width="11" style="52" customWidth="1"/>
    <col min="267" max="267" width="11.5546875" style="52" customWidth="1"/>
    <col min="268" max="268" width="11.6640625" style="52" bestFit="1" customWidth="1"/>
    <col min="269" max="270" width="10.44140625" style="52" customWidth="1"/>
    <col min="271" max="271" width="15" style="52" bestFit="1" customWidth="1"/>
    <col min="272" max="273" width="11.5546875" style="52"/>
    <col min="274" max="274" width="13.88671875" style="52" bestFit="1" customWidth="1"/>
    <col min="275" max="511" width="11.5546875" style="52"/>
    <col min="512" max="512" width="8.33203125" style="52" customWidth="1"/>
    <col min="513" max="513" width="21.109375" style="52" bestFit="1" customWidth="1"/>
    <col min="514" max="514" width="7.88671875" style="52" customWidth="1"/>
    <col min="515" max="515" width="23.5546875" style="52" bestFit="1" customWidth="1"/>
    <col min="516" max="516" width="10.33203125" style="52" customWidth="1"/>
    <col min="517" max="517" width="13.109375" style="52" customWidth="1"/>
    <col min="518" max="519" width="9.88671875" style="52" customWidth="1"/>
    <col min="520" max="520" width="15.5546875" style="52" bestFit="1" customWidth="1"/>
    <col min="521" max="522" width="11" style="52" customWidth="1"/>
    <col min="523" max="523" width="11.5546875" style="52" customWidth="1"/>
    <col min="524" max="524" width="11.6640625" style="52" bestFit="1" customWidth="1"/>
    <col min="525" max="526" width="10.44140625" style="52" customWidth="1"/>
    <col min="527" max="527" width="15" style="52" bestFit="1" customWidth="1"/>
    <col min="528" max="529" width="11.5546875" style="52"/>
    <col min="530" max="530" width="13.88671875" style="52" bestFit="1" customWidth="1"/>
    <col min="531" max="767" width="11.5546875" style="52"/>
    <col min="768" max="768" width="8.33203125" style="52" customWidth="1"/>
    <col min="769" max="769" width="21.109375" style="52" bestFit="1" customWidth="1"/>
    <col min="770" max="770" width="7.88671875" style="52" customWidth="1"/>
    <col min="771" max="771" width="23.5546875" style="52" bestFit="1" customWidth="1"/>
    <col min="772" max="772" width="10.33203125" style="52" customWidth="1"/>
    <col min="773" max="773" width="13.109375" style="52" customWidth="1"/>
    <col min="774" max="775" width="9.88671875" style="52" customWidth="1"/>
    <col min="776" max="776" width="15.5546875" style="52" bestFit="1" customWidth="1"/>
    <col min="777" max="778" width="11" style="52" customWidth="1"/>
    <col min="779" max="779" width="11.5546875" style="52" customWidth="1"/>
    <col min="780" max="780" width="11.6640625" style="52" bestFit="1" customWidth="1"/>
    <col min="781" max="782" width="10.44140625" style="52" customWidth="1"/>
    <col min="783" max="783" width="15" style="52" bestFit="1" customWidth="1"/>
    <col min="784" max="785" width="11.5546875" style="52"/>
    <col min="786" max="786" width="13.88671875" style="52" bestFit="1" customWidth="1"/>
    <col min="787" max="1023" width="11.5546875" style="52"/>
    <col min="1024" max="1024" width="8.33203125" style="52" customWidth="1"/>
    <col min="1025" max="1025" width="21.109375" style="52" bestFit="1" customWidth="1"/>
    <col min="1026" max="1026" width="7.88671875" style="52" customWidth="1"/>
    <col min="1027" max="1027" width="23.5546875" style="52" bestFit="1" customWidth="1"/>
    <col min="1028" max="1028" width="10.33203125" style="52" customWidth="1"/>
    <col min="1029" max="1029" width="13.109375" style="52" customWidth="1"/>
    <col min="1030" max="1031" width="9.88671875" style="52" customWidth="1"/>
    <col min="1032" max="1032" width="15.5546875" style="52" bestFit="1" customWidth="1"/>
    <col min="1033" max="1034" width="11" style="52" customWidth="1"/>
    <col min="1035" max="1035" width="11.5546875" style="52" customWidth="1"/>
    <col min="1036" max="1036" width="11.6640625" style="52" bestFit="1" customWidth="1"/>
    <col min="1037" max="1038" width="10.44140625" style="52" customWidth="1"/>
    <col min="1039" max="1039" width="15" style="52" bestFit="1" customWidth="1"/>
    <col min="1040" max="1041" width="11.5546875" style="52"/>
    <col min="1042" max="1042" width="13.88671875" style="52" bestFit="1" customWidth="1"/>
    <col min="1043" max="1279" width="11.5546875" style="52"/>
    <col min="1280" max="1280" width="8.33203125" style="52" customWidth="1"/>
    <col min="1281" max="1281" width="21.109375" style="52" bestFit="1" customWidth="1"/>
    <col min="1282" max="1282" width="7.88671875" style="52" customWidth="1"/>
    <col min="1283" max="1283" width="23.5546875" style="52" bestFit="1" customWidth="1"/>
    <col min="1284" max="1284" width="10.33203125" style="52" customWidth="1"/>
    <col min="1285" max="1285" width="13.109375" style="52" customWidth="1"/>
    <col min="1286" max="1287" width="9.88671875" style="52" customWidth="1"/>
    <col min="1288" max="1288" width="15.5546875" style="52" bestFit="1" customWidth="1"/>
    <col min="1289" max="1290" width="11" style="52" customWidth="1"/>
    <col min="1291" max="1291" width="11.5546875" style="52" customWidth="1"/>
    <col min="1292" max="1292" width="11.6640625" style="52" bestFit="1" customWidth="1"/>
    <col min="1293" max="1294" width="10.44140625" style="52" customWidth="1"/>
    <col min="1295" max="1295" width="15" style="52" bestFit="1" customWidth="1"/>
    <col min="1296" max="1297" width="11.5546875" style="52"/>
    <col min="1298" max="1298" width="13.88671875" style="52" bestFit="1" customWidth="1"/>
    <col min="1299" max="1535" width="11.5546875" style="52"/>
    <col min="1536" max="1536" width="8.33203125" style="52" customWidth="1"/>
    <col min="1537" max="1537" width="21.109375" style="52" bestFit="1" customWidth="1"/>
    <col min="1538" max="1538" width="7.88671875" style="52" customWidth="1"/>
    <col min="1539" max="1539" width="23.5546875" style="52" bestFit="1" customWidth="1"/>
    <col min="1540" max="1540" width="10.33203125" style="52" customWidth="1"/>
    <col min="1541" max="1541" width="13.109375" style="52" customWidth="1"/>
    <col min="1542" max="1543" width="9.88671875" style="52" customWidth="1"/>
    <col min="1544" max="1544" width="15.5546875" style="52" bestFit="1" customWidth="1"/>
    <col min="1545" max="1546" width="11" style="52" customWidth="1"/>
    <col min="1547" max="1547" width="11.5546875" style="52" customWidth="1"/>
    <col min="1548" max="1548" width="11.6640625" style="52" bestFit="1" customWidth="1"/>
    <col min="1549" max="1550" width="10.44140625" style="52" customWidth="1"/>
    <col min="1551" max="1551" width="15" style="52" bestFit="1" customWidth="1"/>
    <col min="1552" max="1553" width="11.5546875" style="52"/>
    <col min="1554" max="1554" width="13.88671875" style="52" bestFit="1" customWidth="1"/>
    <col min="1555" max="1791" width="11.5546875" style="52"/>
    <col min="1792" max="1792" width="8.33203125" style="52" customWidth="1"/>
    <col min="1793" max="1793" width="21.109375" style="52" bestFit="1" customWidth="1"/>
    <col min="1794" max="1794" width="7.88671875" style="52" customWidth="1"/>
    <col min="1795" max="1795" width="23.5546875" style="52" bestFit="1" customWidth="1"/>
    <col min="1796" max="1796" width="10.33203125" style="52" customWidth="1"/>
    <col min="1797" max="1797" width="13.109375" style="52" customWidth="1"/>
    <col min="1798" max="1799" width="9.88671875" style="52" customWidth="1"/>
    <col min="1800" max="1800" width="15.5546875" style="52" bestFit="1" customWidth="1"/>
    <col min="1801" max="1802" width="11" style="52" customWidth="1"/>
    <col min="1803" max="1803" width="11.5546875" style="52" customWidth="1"/>
    <col min="1804" max="1804" width="11.6640625" style="52" bestFit="1" customWidth="1"/>
    <col min="1805" max="1806" width="10.44140625" style="52" customWidth="1"/>
    <col min="1807" max="1807" width="15" style="52" bestFit="1" customWidth="1"/>
    <col min="1808" max="1809" width="11.5546875" style="52"/>
    <col min="1810" max="1810" width="13.88671875" style="52" bestFit="1" customWidth="1"/>
    <col min="1811" max="2047" width="11.5546875" style="52"/>
    <col min="2048" max="2048" width="8.33203125" style="52" customWidth="1"/>
    <col min="2049" max="2049" width="21.109375" style="52" bestFit="1" customWidth="1"/>
    <col min="2050" max="2050" width="7.88671875" style="52" customWidth="1"/>
    <col min="2051" max="2051" width="23.5546875" style="52" bestFit="1" customWidth="1"/>
    <col min="2052" max="2052" width="10.33203125" style="52" customWidth="1"/>
    <col min="2053" max="2053" width="13.109375" style="52" customWidth="1"/>
    <col min="2054" max="2055" width="9.88671875" style="52" customWidth="1"/>
    <col min="2056" max="2056" width="15.5546875" style="52" bestFit="1" customWidth="1"/>
    <col min="2057" max="2058" width="11" style="52" customWidth="1"/>
    <col min="2059" max="2059" width="11.5546875" style="52" customWidth="1"/>
    <col min="2060" max="2060" width="11.6640625" style="52" bestFit="1" customWidth="1"/>
    <col min="2061" max="2062" width="10.44140625" style="52" customWidth="1"/>
    <col min="2063" max="2063" width="15" style="52" bestFit="1" customWidth="1"/>
    <col min="2064" max="2065" width="11.5546875" style="52"/>
    <col min="2066" max="2066" width="13.88671875" style="52" bestFit="1" customWidth="1"/>
    <col min="2067" max="2303" width="11.5546875" style="52"/>
    <col min="2304" max="2304" width="8.33203125" style="52" customWidth="1"/>
    <col min="2305" max="2305" width="21.109375" style="52" bestFit="1" customWidth="1"/>
    <col min="2306" max="2306" width="7.88671875" style="52" customWidth="1"/>
    <col min="2307" max="2307" width="23.5546875" style="52" bestFit="1" customWidth="1"/>
    <col min="2308" max="2308" width="10.33203125" style="52" customWidth="1"/>
    <col min="2309" max="2309" width="13.109375" style="52" customWidth="1"/>
    <col min="2310" max="2311" width="9.88671875" style="52" customWidth="1"/>
    <col min="2312" max="2312" width="15.5546875" style="52" bestFit="1" customWidth="1"/>
    <col min="2313" max="2314" width="11" style="52" customWidth="1"/>
    <col min="2315" max="2315" width="11.5546875" style="52" customWidth="1"/>
    <col min="2316" max="2316" width="11.6640625" style="52" bestFit="1" customWidth="1"/>
    <col min="2317" max="2318" width="10.44140625" style="52" customWidth="1"/>
    <col min="2319" max="2319" width="15" style="52" bestFit="1" customWidth="1"/>
    <col min="2320" max="2321" width="11.5546875" style="52"/>
    <col min="2322" max="2322" width="13.88671875" style="52" bestFit="1" customWidth="1"/>
    <col min="2323" max="2559" width="11.5546875" style="52"/>
    <col min="2560" max="2560" width="8.33203125" style="52" customWidth="1"/>
    <col min="2561" max="2561" width="21.109375" style="52" bestFit="1" customWidth="1"/>
    <col min="2562" max="2562" width="7.88671875" style="52" customWidth="1"/>
    <col min="2563" max="2563" width="23.5546875" style="52" bestFit="1" customWidth="1"/>
    <col min="2564" max="2564" width="10.33203125" style="52" customWidth="1"/>
    <col min="2565" max="2565" width="13.109375" style="52" customWidth="1"/>
    <col min="2566" max="2567" width="9.88671875" style="52" customWidth="1"/>
    <col min="2568" max="2568" width="15.5546875" style="52" bestFit="1" customWidth="1"/>
    <col min="2569" max="2570" width="11" style="52" customWidth="1"/>
    <col min="2571" max="2571" width="11.5546875" style="52" customWidth="1"/>
    <col min="2572" max="2572" width="11.6640625" style="52" bestFit="1" customWidth="1"/>
    <col min="2573" max="2574" width="10.44140625" style="52" customWidth="1"/>
    <col min="2575" max="2575" width="15" style="52" bestFit="1" customWidth="1"/>
    <col min="2576" max="2577" width="11.5546875" style="52"/>
    <col min="2578" max="2578" width="13.88671875" style="52" bestFit="1" customWidth="1"/>
    <col min="2579" max="2815" width="11.5546875" style="52"/>
    <col min="2816" max="2816" width="8.33203125" style="52" customWidth="1"/>
    <col min="2817" max="2817" width="21.109375" style="52" bestFit="1" customWidth="1"/>
    <col min="2818" max="2818" width="7.88671875" style="52" customWidth="1"/>
    <col min="2819" max="2819" width="23.5546875" style="52" bestFit="1" customWidth="1"/>
    <col min="2820" max="2820" width="10.33203125" style="52" customWidth="1"/>
    <col min="2821" max="2821" width="13.109375" style="52" customWidth="1"/>
    <col min="2822" max="2823" width="9.88671875" style="52" customWidth="1"/>
    <col min="2824" max="2824" width="15.5546875" style="52" bestFit="1" customWidth="1"/>
    <col min="2825" max="2826" width="11" style="52" customWidth="1"/>
    <col min="2827" max="2827" width="11.5546875" style="52" customWidth="1"/>
    <col min="2828" max="2828" width="11.6640625" style="52" bestFit="1" customWidth="1"/>
    <col min="2829" max="2830" width="10.44140625" style="52" customWidth="1"/>
    <col min="2831" max="2831" width="15" style="52" bestFit="1" customWidth="1"/>
    <col min="2832" max="2833" width="11.5546875" style="52"/>
    <col min="2834" max="2834" width="13.88671875" style="52" bestFit="1" customWidth="1"/>
    <col min="2835" max="3071" width="11.5546875" style="52"/>
    <col min="3072" max="3072" width="8.33203125" style="52" customWidth="1"/>
    <col min="3073" max="3073" width="21.109375" style="52" bestFit="1" customWidth="1"/>
    <col min="3074" max="3074" width="7.88671875" style="52" customWidth="1"/>
    <col min="3075" max="3075" width="23.5546875" style="52" bestFit="1" customWidth="1"/>
    <col min="3076" max="3076" width="10.33203125" style="52" customWidth="1"/>
    <col min="3077" max="3077" width="13.109375" style="52" customWidth="1"/>
    <col min="3078" max="3079" width="9.88671875" style="52" customWidth="1"/>
    <col min="3080" max="3080" width="15.5546875" style="52" bestFit="1" customWidth="1"/>
    <col min="3081" max="3082" width="11" style="52" customWidth="1"/>
    <col min="3083" max="3083" width="11.5546875" style="52" customWidth="1"/>
    <col min="3084" max="3084" width="11.6640625" style="52" bestFit="1" customWidth="1"/>
    <col min="3085" max="3086" width="10.44140625" style="52" customWidth="1"/>
    <col min="3087" max="3087" width="15" style="52" bestFit="1" customWidth="1"/>
    <col min="3088" max="3089" width="11.5546875" style="52"/>
    <col min="3090" max="3090" width="13.88671875" style="52" bestFit="1" customWidth="1"/>
    <col min="3091" max="3327" width="11.5546875" style="52"/>
    <col min="3328" max="3328" width="8.33203125" style="52" customWidth="1"/>
    <col min="3329" max="3329" width="21.109375" style="52" bestFit="1" customWidth="1"/>
    <col min="3330" max="3330" width="7.88671875" style="52" customWidth="1"/>
    <col min="3331" max="3331" width="23.5546875" style="52" bestFit="1" customWidth="1"/>
    <col min="3332" max="3332" width="10.33203125" style="52" customWidth="1"/>
    <col min="3333" max="3333" width="13.109375" style="52" customWidth="1"/>
    <col min="3334" max="3335" width="9.88671875" style="52" customWidth="1"/>
    <col min="3336" max="3336" width="15.5546875" style="52" bestFit="1" customWidth="1"/>
    <col min="3337" max="3338" width="11" style="52" customWidth="1"/>
    <col min="3339" max="3339" width="11.5546875" style="52" customWidth="1"/>
    <col min="3340" max="3340" width="11.6640625" style="52" bestFit="1" customWidth="1"/>
    <col min="3341" max="3342" width="10.44140625" style="52" customWidth="1"/>
    <col min="3343" max="3343" width="15" style="52" bestFit="1" customWidth="1"/>
    <col min="3344" max="3345" width="11.5546875" style="52"/>
    <col min="3346" max="3346" width="13.88671875" style="52" bestFit="1" customWidth="1"/>
    <col min="3347" max="3583" width="11.5546875" style="52"/>
    <col min="3584" max="3584" width="8.33203125" style="52" customWidth="1"/>
    <col min="3585" max="3585" width="21.109375" style="52" bestFit="1" customWidth="1"/>
    <col min="3586" max="3586" width="7.88671875" style="52" customWidth="1"/>
    <col min="3587" max="3587" width="23.5546875" style="52" bestFit="1" customWidth="1"/>
    <col min="3588" max="3588" width="10.33203125" style="52" customWidth="1"/>
    <col min="3589" max="3589" width="13.109375" style="52" customWidth="1"/>
    <col min="3590" max="3591" width="9.88671875" style="52" customWidth="1"/>
    <col min="3592" max="3592" width="15.5546875" style="52" bestFit="1" customWidth="1"/>
    <col min="3593" max="3594" width="11" style="52" customWidth="1"/>
    <col min="3595" max="3595" width="11.5546875" style="52" customWidth="1"/>
    <col min="3596" max="3596" width="11.6640625" style="52" bestFit="1" customWidth="1"/>
    <col min="3597" max="3598" width="10.44140625" style="52" customWidth="1"/>
    <col min="3599" max="3599" width="15" style="52" bestFit="1" customWidth="1"/>
    <col min="3600" max="3601" width="11.5546875" style="52"/>
    <col min="3602" max="3602" width="13.88671875" style="52" bestFit="1" customWidth="1"/>
    <col min="3603" max="3839" width="11.5546875" style="52"/>
    <col min="3840" max="3840" width="8.33203125" style="52" customWidth="1"/>
    <col min="3841" max="3841" width="21.109375" style="52" bestFit="1" customWidth="1"/>
    <col min="3842" max="3842" width="7.88671875" style="52" customWidth="1"/>
    <col min="3843" max="3843" width="23.5546875" style="52" bestFit="1" customWidth="1"/>
    <col min="3844" max="3844" width="10.33203125" style="52" customWidth="1"/>
    <col min="3845" max="3845" width="13.109375" style="52" customWidth="1"/>
    <col min="3846" max="3847" width="9.88671875" style="52" customWidth="1"/>
    <col min="3848" max="3848" width="15.5546875" style="52" bestFit="1" customWidth="1"/>
    <col min="3849" max="3850" width="11" style="52" customWidth="1"/>
    <col min="3851" max="3851" width="11.5546875" style="52" customWidth="1"/>
    <col min="3852" max="3852" width="11.6640625" style="52" bestFit="1" customWidth="1"/>
    <col min="3853" max="3854" width="10.44140625" style="52" customWidth="1"/>
    <col min="3855" max="3855" width="15" style="52" bestFit="1" customWidth="1"/>
    <col min="3856" max="3857" width="11.5546875" style="52"/>
    <col min="3858" max="3858" width="13.88671875" style="52" bestFit="1" customWidth="1"/>
    <col min="3859" max="4095" width="11.5546875" style="52"/>
    <col min="4096" max="4096" width="8.33203125" style="52" customWidth="1"/>
    <col min="4097" max="4097" width="21.109375" style="52" bestFit="1" customWidth="1"/>
    <col min="4098" max="4098" width="7.88671875" style="52" customWidth="1"/>
    <col min="4099" max="4099" width="23.5546875" style="52" bestFit="1" customWidth="1"/>
    <col min="4100" max="4100" width="10.33203125" style="52" customWidth="1"/>
    <col min="4101" max="4101" width="13.109375" style="52" customWidth="1"/>
    <col min="4102" max="4103" width="9.88671875" style="52" customWidth="1"/>
    <col min="4104" max="4104" width="15.5546875" style="52" bestFit="1" customWidth="1"/>
    <col min="4105" max="4106" width="11" style="52" customWidth="1"/>
    <col min="4107" max="4107" width="11.5546875" style="52" customWidth="1"/>
    <col min="4108" max="4108" width="11.6640625" style="52" bestFit="1" customWidth="1"/>
    <col min="4109" max="4110" width="10.44140625" style="52" customWidth="1"/>
    <col min="4111" max="4111" width="15" style="52" bestFit="1" customWidth="1"/>
    <col min="4112" max="4113" width="11.5546875" style="52"/>
    <col min="4114" max="4114" width="13.88671875" style="52" bestFit="1" customWidth="1"/>
    <col min="4115" max="4351" width="11.5546875" style="52"/>
    <col min="4352" max="4352" width="8.33203125" style="52" customWidth="1"/>
    <col min="4353" max="4353" width="21.109375" style="52" bestFit="1" customWidth="1"/>
    <col min="4354" max="4354" width="7.88671875" style="52" customWidth="1"/>
    <col min="4355" max="4355" width="23.5546875" style="52" bestFit="1" customWidth="1"/>
    <col min="4356" max="4356" width="10.33203125" style="52" customWidth="1"/>
    <col min="4357" max="4357" width="13.109375" style="52" customWidth="1"/>
    <col min="4358" max="4359" width="9.88671875" style="52" customWidth="1"/>
    <col min="4360" max="4360" width="15.5546875" style="52" bestFit="1" customWidth="1"/>
    <col min="4361" max="4362" width="11" style="52" customWidth="1"/>
    <col min="4363" max="4363" width="11.5546875" style="52" customWidth="1"/>
    <col min="4364" max="4364" width="11.6640625" style="52" bestFit="1" customWidth="1"/>
    <col min="4365" max="4366" width="10.44140625" style="52" customWidth="1"/>
    <col min="4367" max="4367" width="15" style="52" bestFit="1" customWidth="1"/>
    <col min="4368" max="4369" width="11.5546875" style="52"/>
    <col min="4370" max="4370" width="13.88671875" style="52" bestFit="1" customWidth="1"/>
    <col min="4371" max="4607" width="11.5546875" style="52"/>
    <col min="4608" max="4608" width="8.33203125" style="52" customWidth="1"/>
    <col min="4609" max="4609" width="21.109375" style="52" bestFit="1" customWidth="1"/>
    <col min="4610" max="4610" width="7.88671875" style="52" customWidth="1"/>
    <col min="4611" max="4611" width="23.5546875" style="52" bestFit="1" customWidth="1"/>
    <col min="4612" max="4612" width="10.33203125" style="52" customWidth="1"/>
    <col min="4613" max="4613" width="13.109375" style="52" customWidth="1"/>
    <col min="4614" max="4615" width="9.88671875" style="52" customWidth="1"/>
    <col min="4616" max="4616" width="15.5546875" style="52" bestFit="1" customWidth="1"/>
    <col min="4617" max="4618" width="11" style="52" customWidth="1"/>
    <col min="4619" max="4619" width="11.5546875" style="52" customWidth="1"/>
    <col min="4620" max="4620" width="11.6640625" style="52" bestFit="1" customWidth="1"/>
    <col min="4621" max="4622" width="10.44140625" style="52" customWidth="1"/>
    <col min="4623" max="4623" width="15" style="52" bestFit="1" customWidth="1"/>
    <col min="4624" max="4625" width="11.5546875" style="52"/>
    <col min="4626" max="4626" width="13.88671875" style="52" bestFit="1" customWidth="1"/>
    <col min="4627" max="4863" width="11.5546875" style="52"/>
    <col min="4864" max="4864" width="8.33203125" style="52" customWidth="1"/>
    <col min="4865" max="4865" width="21.109375" style="52" bestFit="1" customWidth="1"/>
    <col min="4866" max="4866" width="7.88671875" style="52" customWidth="1"/>
    <col min="4867" max="4867" width="23.5546875" style="52" bestFit="1" customWidth="1"/>
    <col min="4868" max="4868" width="10.33203125" style="52" customWidth="1"/>
    <col min="4869" max="4869" width="13.109375" style="52" customWidth="1"/>
    <col min="4870" max="4871" width="9.88671875" style="52" customWidth="1"/>
    <col min="4872" max="4872" width="15.5546875" style="52" bestFit="1" customWidth="1"/>
    <col min="4873" max="4874" width="11" style="52" customWidth="1"/>
    <col min="4875" max="4875" width="11.5546875" style="52" customWidth="1"/>
    <col min="4876" max="4876" width="11.6640625" style="52" bestFit="1" customWidth="1"/>
    <col min="4877" max="4878" width="10.44140625" style="52" customWidth="1"/>
    <col min="4879" max="4879" width="15" style="52" bestFit="1" customWidth="1"/>
    <col min="4880" max="4881" width="11.5546875" style="52"/>
    <col min="4882" max="4882" width="13.88671875" style="52" bestFit="1" customWidth="1"/>
    <col min="4883" max="5119" width="11.5546875" style="52"/>
    <col min="5120" max="5120" width="8.33203125" style="52" customWidth="1"/>
    <col min="5121" max="5121" width="21.109375" style="52" bestFit="1" customWidth="1"/>
    <col min="5122" max="5122" width="7.88671875" style="52" customWidth="1"/>
    <col min="5123" max="5123" width="23.5546875" style="52" bestFit="1" customWidth="1"/>
    <col min="5124" max="5124" width="10.33203125" style="52" customWidth="1"/>
    <col min="5125" max="5125" width="13.109375" style="52" customWidth="1"/>
    <col min="5126" max="5127" width="9.88671875" style="52" customWidth="1"/>
    <col min="5128" max="5128" width="15.5546875" style="52" bestFit="1" customWidth="1"/>
    <col min="5129" max="5130" width="11" style="52" customWidth="1"/>
    <col min="5131" max="5131" width="11.5546875" style="52" customWidth="1"/>
    <col min="5132" max="5132" width="11.6640625" style="52" bestFit="1" customWidth="1"/>
    <col min="5133" max="5134" width="10.44140625" style="52" customWidth="1"/>
    <col min="5135" max="5135" width="15" style="52" bestFit="1" customWidth="1"/>
    <col min="5136" max="5137" width="11.5546875" style="52"/>
    <col min="5138" max="5138" width="13.88671875" style="52" bestFit="1" customWidth="1"/>
    <col min="5139" max="5375" width="11.5546875" style="52"/>
    <col min="5376" max="5376" width="8.33203125" style="52" customWidth="1"/>
    <col min="5377" max="5377" width="21.109375" style="52" bestFit="1" customWidth="1"/>
    <col min="5378" max="5378" width="7.88671875" style="52" customWidth="1"/>
    <col min="5379" max="5379" width="23.5546875" style="52" bestFit="1" customWidth="1"/>
    <col min="5380" max="5380" width="10.33203125" style="52" customWidth="1"/>
    <col min="5381" max="5381" width="13.109375" style="52" customWidth="1"/>
    <col min="5382" max="5383" width="9.88671875" style="52" customWidth="1"/>
    <col min="5384" max="5384" width="15.5546875" style="52" bestFit="1" customWidth="1"/>
    <col min="5385" max="5386" width="11" style="52" customWidth="1"/>
    <col min="5387" max="5387" width="11.5546875" style="52" customWidth="1"/>
    <col min="5388" max="5388" width="11.6640625" style="52" bestFit="1" customWidth="1"/>
    <col min="5389" max="5390" width="10.44140625" style="52" customWidth="1"/>
    <col min="5391" max="5391" width="15" style="52" bestFit="1" customWidth="1"/>
    <col min="5392" max="5393" width="11.5546875" style="52"/>
    <col min="5394" max="5394" width="13.88671875" style="52" bestFit="1" customWidth="1"/>
    <col min="5395" max="5631" width="11.5546875" style="52"/>
    <col min="5632" max="5632" width="8.33203125" style="52" customWidth="1"/>
    <col min="5633" max="5633" width="21.109375" style="52" bestFit="1" customWidth="1"/>
    <col min="5634" max="5634" width="7.88671875" style="52" customWidth="1"/>
    <col min="5635" max="5635" width="23.5546875" style="52" bestFit="1" customWidth="1"/>
    <col min="5636" max="5636" width="10.33203125" style="52" customWidth="1"/>
    <col min="5637" max="5637" width="13.109375" style="52" customWidth="1"/>
    <col min="5638" max="5639" width="9.88671875" style="52" customWidth="1"/>
    <col min="5640" max="5640" width="15.5546875" style="52" bestFit="1" customWidth="1"/>
    <col min="5641" max="5642" width="11" style="52" customWidth="1"/>
    <col min="5643" max="5643" width="11.5546875" style="52" customWidth="1"/>
    <col min="5644" max="5644" width="11.6640625" style="52" bestFit="1" customWidth="1"/>
    <col min="5645" max="5646" width="10.44140625" style="52" customWidth="1"/>
    <col min="5647" max="5647" width="15" style="52" bestFit="1" customWidth="1"/>
    <col min="5648" max="5649" width="11.5546875" style="52"/>
    <col min="5650" max="5650" width="13.88671875" style="52" bestFit="1" customWidth="1"/>
    <col min="5651" max="5887" width="11.5546875" style="52"/>
    <col min="5888" max="5888" width="8.33203125" style="52" customWidth="1"/>
    <col min="5889" max="5889" width="21.109375" style="52" bestFit="1" customWidth="1"/>
    <col min="5890" max="5890" width="7.88671875" style="52" customWidth="1"/>
    <col min="5891" max="5891" width="23.5546875" style="52" bestFit="1" customWidth="1"/>
    <col min="5892" max="5892" width="10.33203125" style="52" customWidth="1"/>
    <col min="5893" max="5893" width="13.109375" style="52" customWidth="1"/>
    <col min="5894" max="5895" width="9.88671875" style="52" customWidth="1"/>
    <col min="5896" max="5896" width="15.5546875" style="52" bestFit="1" customWidth="1"/>
    <col min="5897" max="5898" width="11" style="52" customWidth="1"/>
    <col min="5899" max="5899" width="11.5546875" style="52" customWidth="1"/>
    <col min="5900" max="5900" width="11.6640625" style="52" bestFit="1" customWidth="1"/>
    <col min="5901" max="5902" width="10.44140625" style="52" customWidth="1"/>
    <col min="5903" max="5903" width="15" style="52" bestFit="1" customWidth="1"/>
    <col min="5904" max="5905" width="11.5546875" style="52"/>
    <col min="5906" max="5906" width="13.88671875" style="52" bestFit="1" customWidth="1"/>
    <col min="5907" max="6143" width="11.5546875" style="52"/>
    <col min="6144" max="6144" width="8.33203125" style="52" customWidth="1"/>
    <col min="6145" max="6145" width="21.109375" style="52" bestFit="1" customWidth="1"/>
    <col min="6146" max="6146" width="7.88671875" style="52" customWidth="1"/>
    <col min="6147" max="6147" width="23.5546875" style="52" bestFit="1" customWidth="1"/>
    <col min="6148" max="6148" width="10.33203125" style="52" customWidth="1"/>
    <col min="6149" max="6149" width="13.109375" style="52" customWidth="1"/>
    <col min="6150" max="6151" width="9.88671875" style="52" customWidth="1"/>
    <col min="6152" max="6152" width="15.5546875" style="52" bestFit="1" customWidth="1"/>
    <col min="6153" max="6154" width="11" style="52" customWidth="1"/>
    <col min="6155" max="6155" width="11.5546875" style="52" customWidth="1"/>
    <col min="6156" max="6156" width="11.6640625" style="52" bestFit="1" customWidth="1"/>
    <col min="6157" max="6158" width="10.44140625" style="52" customWidth="1"/>
    <col min="6159" max="6159" width="15" style="52" bestFit="1" customWidth="1"/>
    <col min="6160" max="6161" width="11.5546875" style="52"/>
    <col min="6162" max="6162" width="13.88671875" style="52" bestFit="1" customWidth="1"/>
    <col min="6163" max="6399" width="11.5546875" style="52"/>
    <col min="6400" max="6400" width="8.33203125" style="52" customWidth="1"/>
    <col min="6401" max="6401" width="21.109375" style="52" bestFit="1" customWidth="1"/>
    <col min="6402" max="6402" width="7.88671875" style="52" customWidth="1"/>
    <col min="6403" max="6403" width="23.5546875" style="52" bestFit="1" customWidth="1"/>
    <col min="6404" max="6404" width="10.33203125" style="52" customWidth="1"/>
    <col min="6405" max="6405" width="13.109375" style="52" customWidth="1"/>
    <col min="6406" max="6407" width="9.88671875" style="52" customWidth="1"/>
    <col min="6408" max="6408" width="15.5546875" style="52" bestFit="1" customWidth="1"/>
    <col min="6409" max="6410" width="11" style="52" customWidth="1"/>
    <col min="6411" max="6411" width="11.5546875" style="52" customWidth="1"/>
    <col min="6412" max="6412" width="11.6640625" style="52" bestFit="1" customWidth="1"/>
    <col min="6413" max="6414" width="10.44140625" style="52" customWidth="1"/>
    <col min="6415" max="6415" width="15" style="52" bestFit="1" customWidth="1"/>
    <col min="6416" max="6417" width="11.5546875" style="52"/>
    <col min="6418" max="6418" width="13.88671875" style="52" bestFit="1" customWidth="1"/>
    <col min="6419" max="6655" width="11.5546875" style="52"/>
    <col min="6656" max="6656" width="8.33203125" style="52" customWidth="1"/>
    <col min="6657" max="6657" width="21.109375" style="52" bestFit="1" customWidth="1"/>
    <col min="6658" max="6658" width="7.88671875" style="52" customWidth="1"/>
    <col min="6659" max="6659" width="23.5546875" style="52" bestFit="1" customWidth="1"/>
    <col min="6660" max="6660" width="10.33203125" style="52" customWidth="1"/>
    <col min="6661" max="6661" width="13.109375" style="52" customWidth="1"/>
    <col min="6662" max="6663" width="9.88671875" style="52" customWidth="1"/>
    <col min="6664" max="6664" width="15.5546875" style="52" bestFit="1" customWidth="1"/>
    <col min="6665" max="6666" width="11" style="52" customWidth="1"/>
    <col min="6667" max="6667" width="11.5546875" style="52" customWidth="1"/>
    <col min="6668" max="6668" width="11.6640625" style="52" bestFit="1" customWidth="1"/>
    <col min="6669" max="6670" width="10.44140625" style="52" customWidth="1"/>
    <col min="6671" max="6671" width="15" style="52" bestFit="1" customWidth="1"/>
    <col min="6672" max="6673" width="11.5546875" style="52"/>
    <col min="6674" max="6674" width="13.88671875" style="52" bestFit="1" customWidth="1"/>
    <col min="6675" max="6911" width="11.5546875" style="52"/>
    <col min="6912" max="6912" width="8.33203125" style="52" customWidth="1"/>
    <col min="6913" max="6913" width="21.109375" style="52" bestFit="1" customWidth="1"/>
    <col min="6914" max="6914" width="7.88671875" style="52" customWidth="1"/>
    <col min="6915" max="6915" width="23.5546875" style="52" bestFit="1" customWidth="1"/>
    <col min="6916" max="6916" width="10.33203125" style="52" customWidth="1"/>
    <col min="6917" max="6917" width="13.109375" style="52" customWidth="1"/>
    <col min="6918" max="6919" width="9.88671875" style="52" customWidth="1"/>
    <col min="6920" max="6920" width="15.5546875" style="52" bestFit="1" customWidth="1"/>
    <col min="6921" max="6922" width="11" style="52" customWidth="1"/>
    <col min="6923" max="6923" width="11.5546875" style="52" customWidth="1"/>
    <col min="6924" max="6924" width="11.6640625" style="52" bestFit="1" customWidth="1"/>
    <col min="6925" max="6926" width="10.44140625" style="52" customWidth="1"/>
    <col min="6927" max="6927" width="15" style="52" bestFit="1" customWidth="1"/>
    <col min="6928" max="6929" width="11.5546875" style="52"/>
    <col min="6930" max="6930" width="13.88671875" style="52" bestFit="1" customWidth="1"/>
    <col min="6931" max="7167" width="11.5546875" style="52"/>
    <col min="7168" max="7168" width="8.33203125" style="52" customWidth="1"/>
    <col min="7169" max="7169" width="21.109375" style="52" bestFit="1" customWidth="1"/>
    <col min="7170" max="7170" width="7.88671875" style="52" customWidth="1"/>
    <col min="7171" max="7171" width="23.5546875" style="52" bestFit="1" customWidth="1"/>
    <col min="7172" max="7172" width="10.33203125" style="52" customWidth="1"/>
    <col min="7173" max="7173" width="13.109375" style="52" customWidth="1"/>
    <col min="7174" max="7175" width="9.88671875" style="52" customWidth="1"/>
    <col min="7176" max="7176" width="15.5546875" style="52" bestFit="1" customWidth="1"/>
    <col min="7177" max="7178" width="11" style="52" customWidth="1"/>
    <col min="7179" max="7179" width="11.5546875" style="52" customWidth="1"/>
    <col min="7180" max="7180" width="11.6640625" style="52" bestFit="1" customWidth="1"/>
    <col min="7181" max="7182" width="10.44140625" style="52" customWidth="1"/>
    <col min="7183" max="7183" width="15" style="52" bestFit="1" customWidth="1"/>
    <col min="7184" max="7185" width="11.5546875" style="52"/>
    <col min="7186" max="7186" width="13.88671875" style="52" bestFit="1" customWidth="1"/>
    <col min="7187" max="7423" width="11.5546875" style="52"/>
    <col min="7424" max="7424" width="8.33203125" style="52" customWidth="1"/>
    <col min="7425" max="7425" width="21.109375" style="52" bestFit="1" customWidth="1"/>
    <col min="7426" max="7426" width="7.88671875" style="52" customWidth="1"/>
    <col min="7427" max="7427" width="23.5546875" style="52" bestFit="1" customWidth="1"/>
    <col min="7428" max="7428" width="10.33203125" style="52" customWidth="1"/>
    <col min="7429" max="7429" width="13.109375" style="52" customWidth="1"/>
    <col min="7430" max="7431" width="9.88671875" style="52" customWidth="1"/>
    <col min="7432" max="7432" width="15.5546875" style="52" bestFit="1" customWidth="1"/>
    <col min="7433" max="7434" width="11" style="52" customWidth="1"/>
    <col min="7435" max="7435" width="11.5546875" style="52" customWidth="1"/>
    <col min="7436" max="7436" width="11.6640625" style="52" bestFit="1" customWidth="1"/>
    <col min="7437" max="7438" width="10.44140625" style="52" customWidth="1"/>
    <col min="7439" max="7439" width="15" style="52" bestFit="1" customWidth="1"/>
    <col min="7440" max="7441" width="11.5546875" style="52"/>
    <col min="7442" max="7442" width="13.88671875" style="52" bestFit="1" customWidth="1"/>
    <col min="7443" max="7679" width="11.5546875" style="52"/>
    <col min="7680" max="7680" width="8.33203125" style="52" customWidth="1"/>
    <col min="7681" max="7681" width="21.109375" style="52" bestFit="1" customWidth="1"/>
    <col min="7682" max="7682" width="7.88671875" style="52" customWidth="1"/>
    <col min="7683" max="7683" width="23.5546875" style="52" bestFit="1" customWidth="1"/>
    <col min="7684" max="7684" width="10.33203125" style="52" customWidth="1"/>
    <col min="7685" max="7685" width="13.109375" style="52" customWidth="1"/>
    <col min="7686" max="7687" width="9.88671875" style="52" customWidth="1"/>
    <col min="7688" max="7688" width="15.5546875" style="52" bestFit="1" customWidth="1"/>
    <col min="7689" max="7690" width="11" style="52" customWidth="1"/>
    <col min="7691" max="7691" width="11.5546875" style="52" customWidth="1"/>
    <col min="7692" max="7692" width="11.6640625" style="52" bestFit="1" customWidth="1"/>
    <col min="7693" max="7694" width="10.44140625" style="52" customWidth="1"/>
    <col min="7695" max="7695" width="15" style="52" bestFit="1" customWidth="1"/>
    <col min="7696" max="7697" width="11.5546875" style="52"/>
    <col min="7698" max="7698" width="13.88671875" style="52" bestFit="1" customWidth="1"/>
    <col min="7699" max="7935" width="11.5546875" style="52"/>
    <col min="7936" max="7936" width="8.33203125" style="52" customWidth="1"/>
    <col min="7937" max="7937" width="21.109375" style="52" bestFit="1" customWidth="1"/>
    <col min="7938" max="7938" width="7.88671875" style="52" customWidth="1"/>
    <col min="7939" max="7939" width="23.5546875" style="52" bestFit="1" customWidth="1"/>
    <col min="7940" max="7940" width="10.33203125" style="52" customWidth="1"/>
    <col min="7941" max="7941" width="13.109375" style="52" customWidth="1"/>
    <col min="7942" max="7943" width="9.88671875" style="52" customWidth="1"/>
    <col min="7944" max="7944" width="15.5546875" style="52" bestFit="1" customWidth="1"/>
    <col min="7945" max="7946" width="11" style="52" customWidth="1"/>
    <col min="7947" max="7947" width="11.5546875" style="52" customWidth="1"/>
    <col min="7948" max="7948" width="11.6640625" style="52" bestFit="1" customWidth="1"/>
    <col min="7949" max="7950" width="10.44140625" style="52" customWidth="1"/>
    <col min="7951" max="7951" width="15" style="52" bestFit="1" customWidth="1"/>
    <col min="7952" max="7953" width="11.5546875" style="52"/>
    <col min="7954" max="7954" width="13.88671875" style="52" bestFit="1" customWidth="1"/>
    <col min="7955" max="8191" width="11.5546875" style="52"/>
    <col min="8192" max="8192" width="8.33203125" style="52" customWidth="1"/>
    <col min="8193" max="8193" width="21.109375" style="52" bestFit="1" customWidth="1"/>
    <col min="8194" max="8194" width="7.88671875" style="52" customWidth="1"/>
    <col min="8195" max="8195" width="23.5546875" style="52" bestFit="1" customWidth="1"/>
    <col min="8196" max="8196" width="10.33203125" style="52" customWidth="1"/>
    <col min="8197" max="8197" width="13.109375" style="52" customWidth="1"/>
    <col min="8198" max="8199" width="9.88671875" style="52" customWidth="1"/>
    <col min="8200" max="8200" width="15.5546875" style="52" bestFit="1" customWidth="1"/>
    <col min="8201" max="8202" width="11" style="52" customWidth="1"/>
    <col min="8203" max="8203" width="11.5546875" style="52" customWidth="1"/>
    <col min="8204" max="8204" width="11.6640625" style="52" bestFit="1" customWidth="1"/>
    <col min="8205" max="8206" width="10.44140625" style="52" customWidth="1"/>
    <col min="8207" max="8207" width="15" style="52" bestFit="1" customWidth="1"/>
    <col min="8208" max="8209" width="11.5546875" style="52"/>
    <col min="8210" max="8210" width="13.88671875" style="52" bestFit="1" customWidth="1"/>
    <col min="8211" max="8447" width="11.5546875" style="52"/>
    <col min="8448" max="8448" width="8.33203125" style="52" customWidth="1"/>
    <col min="8449" max="8449" width="21.109375" style="52" bestFit="1" customWidth="1"/>
    <col min="8450" max="8450" width="7.88671875" style="52" customWidth="1"/>
    <col min="8451" max="8451" width="23.5546875" style="52" bestFit="1" customWidth="1"/>
    <col min="8452" max="8452" width="10.33203125" style="52" customWidth="1"/>
    <col min="8453" max="8453" width="13.109375" style="52" customWidth="1"/>
    <col min="8454" max="8455" width="9.88671875" style="52" customWidth="1"/>
    <col min="8456" max="8456" width="15.5546875" style="52" bestFit="1" customWidth="1"/>
    <col min="8457" max="8458" width="11" style="52" customWidth="1"/>
    <col min="8459" max="8459" width="11.5546875" style="52" customWidth="1"/>
    <col min="8460" max="8460" width="11.6640625" style="52" bestFit="1" customWidth="1"/>
    <col min="8461" max="8462" width="10.44140625" style="52" customWidth="1"/>
    <col min="8463" max="8463" width="15" style="52" bestFit="1" customWidth="1"/>
    <col min="8464" max="8465" width="11.5546875" style="52"/>
    <col min="8466" max="8466" width="13.88671875" style="52" bestFit="1" customWidth="1"/>
    <col min="8467" max="8703" width="11.5546875" style="52"/>
    <col min="8704" max="8704" width="8.33203125" style="52" customWidth="1"/>
    <col min="8705" max="8705" width="21.109375" style="52" bestFit="1" customWidth="1"/>
    <col min="8706" max="8706" width="7.88671875" style="52" customWidth="1"/>
    <col min="8707" max="8707" width="23.5546875" style="52" bestFit="1" customWidth="1"/>
    <col min="8708" max="8708" width="10.33203125" style="52" customWidth="1"/>
    <col min="8709" max="8709" width="13.109375" style="52" customWidth="1"/>
    <col min="8710" max="8711" width="9.88671875" style="52" customWidth="1"/>
    <col min="8712" max="8712" width="15.5546875" style="52" bestFit="1" customWidth="1"/>
    <col min="8713" max="8714" width="11" style="52" customWidth="1"/>
    <col min="8715" max="8715" width="11.5546875" style="52" customWidth="1"/>
    <col min="8716" max="8716" width="11.6640625" style="52" bestFit="1" customWidth="1"/>
    <col min="8717" max="8718" width="10.44140625" style="52" customWidth="1"/>
    <col min="8719" max="8719" width="15" style="52" bestFit="1" customWidth="1"/>
    <col min="8720" max="8721" width="11.5546875" style="52"/>
    <col min="8722" max="8722" width="13.88671875" style="52" bestFit="1" customWidth="1"/>
    <col min="8723" max="8959" width="11.5546875" style="52"/>
    <col min="8960" max="8960" width="8.33203125" style="52" customWidth="1"/>
    <col min="8961" max="8961" width="21.109375" style="52" bestFit="1" customWidth="1"/>
    <col min="8962" max="8962" width="7.88671875" style="52" customWidth="1"/>
    <col min="8963" max="8963" width="23.5546875" style="52" bestFit="1" customWidth="1"/>
    <col min="8964" max="8964" width="10.33203125" style="52" customWidth="1"/>
    <col min="8965" max="8965" width="13.109375" style="52" customWidth="1"/>
    <col min="8966" max="8967" width="9.88671875" style="52" customWidth="1"/>
    <col min="8968" max="8968" width="15.5546875" style="52" bestFit="1" customWidth="1"/>
    <col min="8969" max="8970" width="11" style="52" customWidth="1"/>
    <col min="8971" max="8971" width="11.5546875" style="52" customWidth="1"/>
    <col min="8972" max="8972" width="11.6640625" style="52" bestFit="1" customWidth="1"/>
    <col min="8973" max="8974" width="10.44140625" style="52" customWidth="1"/>
    <col min="8975" max="8975" width="15" style="52" bestFit="1" customWidth="1"/>
    <col min="8976" max="8977" width="11.5546875" style="52"/>
    <col min="8978" max="8978" width="13.88671875" style="52" bestFit="1" customWidth="1"/>
    <col min="8979" max="9215" width="11.5546875" style="52"/>
    <col min="9216" max="9216" width="8.33203125" style="52" customWidth="1"/>
    <col min="9217" max="9217" width="21.109375" style="52" bestFit="1" customWidth="1"/>
    <col min="9218" max="9218" width="7.88671875" style="52" customWidth="1"/>
    <col min="9219" max="9219" width="23.5546875" style="52" bestFit="1" customWidth="1"/>
    <col min="9220" max="9220" width="10.33203125" style="52" customWidth="1"/>
    <col min="9221" max="9221" width="13.109375" style="52" customWidth="1"/>
    <col min="9222" max="9223" width="9.88671875" style="52" customWidth="1"/>
    <col min="9224" max="9224" width="15.5546875" style="52" bestFit="1" customWidth="1"/>
    <col min="9225" max="9226" width="11" style="52" customWidth="1"/>
    <col min="9227" max="9227" width="11.5546875" style="52" customWidth="1"/>
    <col min="9228" max="9228" width="11.6640625" style="52" bestFit="1" customWidth="1"/>
    <col min="9229" max="9230" width="10.44140625" style="52" customWidth="1"/>
    <col min="9231" max="9231" width="15" style="52" bestFit="1" customWidth="1"/>
    <col min="9232" max="9233" width="11.5546875" style="52"/>
    <col min="9234" max="9234" width="13.88671875" style="52" bestFit="1" customWidth="1"/>
    <col min="9235" max="9471" width="11.5546875" style="52"/>
    <col min="9472" max="9472" width="8.33203125" style="52" customWidth="1"/>
    <col min="9473" max="9473" width="21.109375" style="52" bestFit="1" customWidth="1"/>
    <col min="9474" max="9474" width="7.88671875" style="52" customWidth="1"/>
    <col min="9475" max="9475" width="23.5546875" style="52" bestFit="1" customWidth="1"/>
    <col min="9476" max="9476" width="10.33203125" style="52" customWidth="1"/>
    <col min="9477" max="9477" width="13.109375" style="52" customWidth="1"/>
    <col min="9478" max="9479" width="9.88671875" style="52" customWidth="1"/>
    <col min="9480" max="9480" width="15.5546875" style="52" bestFit="1" customWidth="1"/>
    <col min="9481" max="9482" width="11" style="52" customWidth="1"/>
    <col min="9483" max="9483" width="11.5546875" style="52" customWidth="1"/>
    <col min="9484" max="9484" width="11.6640625" style="52" bestFit="1" customWidth="1"/>
    <col min="9485" max="9486" width="10.44140625" style="52" customWidth="1"/>
    <col min="9487" max="9487" width="15" style="52" bestFit="1" customWidth="1"/>
    <col min="9488" max="9489" width="11.5546875" style="52"/>
    <col min="9490" max="9490" width="13.88671875" style="52" bestFit="1" customWidth="1"/>
    <col min="9491" max="9727" width="11.5546875" style="52"/>
    <col min="9728" max="9728" width="8.33203125" style="52" customWidth="1"/>
    <col min="9729" max="9729" width="21.109375" style="52" bestFit="1" customWidth="1"/>
    <col min="9730" max="9730" width="7.88671875" style="52" customWidth="1"/>
    <col min="9731" max="9731" width="23.5546875" style="52" bestFit="1" customWidth="1"/>
    <col min="9732" max="9732" width="10.33203125" style="52" customWidth="1"/>
    <col min="9733" max="9733" width="13.109375" style="52" customWidth="1"/>
    <col min="9734" max="9735" width="9.88671875" style="52" customWidth="1"/>
    <col min="9736" max="9736" width="15.5546875" style="52" bestFit="1" customWidth="1"/>
    <col min="9737" max="9738" width="11" style="52" customWidth="1"/>
    <col min="9739" max="9739" width="11.5546875" style="52" customWidth="1"/>
    <col min="9740" max="9740" width="11.6640625" style="52" bestFit="1" customWidth="1"/>
    <col min="9741" max="9742" width="10.44140625" style="52" customWidth="1"/>
    <col min="9743" max="9743" width="15" style="52" bestFit="1" customWidth="1"/>
    <col min="9744" max="9745" width="11.5546875" style="52"/>
    <col min="9746" max="9746" width="13.88671875" style="52" bestFit="1" customWidth="1"/>
    <col min="9747" max="9983" width="11.5546875" style="52"/>
    <col min="9984" max="9984" width="8.33203125" style="52" customWidth="1"/>
    <col min="9985" max="9985" width="21.109375" style="52" bestFit="1" customWidth="1"/>
    <col min="9986" max="9986" width="7.88671875" style="52" customWidth="1"/>
    <col min="9987" max="9987" width="23.5546875" style="52" bestFit="1" customWidth="1"/>
    <col min="9988" max="9988" width="10.33203125" style="52" customWidth="1"/>
    <col min="9989" max="9989" width="13.109375" style="52" customWidth="1"/>
    <col min="9990" max="9991" width="9.88671875" style="52" customWidth="1"/>
    <col min="9992" max="9992" width="15.5546875" style="52" bestFit="1" customWidth="1"/>
    <col min="9993" max="9994" width="11" style="52" customWidth="1"/>
    <col min="9995" max="9995" width="11.5546875" style="52" customWidth="1"/>
    <col min="9996" max="9996" width="11.6640625" style="52" bestFit="1" customWidth="1"/>
    <col min="9997" max="9998" width="10.44140625" style="52" customWidth="1"/>
    <col min="9999" max="9999" width="15" style="52" bestFit="1" customWidth="1"/>
    <col min="10000" max="10001" width="11.5546875" style="52"/>
    <col min="10002" max="10002" width="13.88671875" style="52" bestFit="1" customWidth="1"/>
    <col min="10003" max="10239" width="11.5546875" style="52"/>
    <col min="10240" max="10240" width="8.33203125" style="52" customWidth="1"/>
    <col min="10241" max="10241" width="21.109375" style="52" bestFit="1" customWidth="1"/>
    <col min="10242" max="10242" width="7.88671875" style="52" customWidth="1"/>
    <col min="10243" max="10243" width="23.5546875" style="52" bestFit="1" customWidth="1"/>
    <col min="10244" max="10244" width="10.33203125" style="52" customWidth="1"/>
    <col min="10245" max="10245" width="13.109375" style="52" customWidth="1"/>
    <col min="10246" max="10247" width="9.88671875" style="52" customWidth="1"/>
    <col min="10248" max="10248" width="15.5546875" style="52" bestFit="1" customWidth="1"/>
    <col min="10249" max="10250" width="11" style="52" customWidth="1"/>
    <col min="10251" max="10251" width="11.5546875" style="52" customWidth="1"/>
    <col min="10252" max="10252" width="11.6640625" style="52" bestFit="1" customWidth="1"/>
    <col min="10253" max="10254" width="10.44140625" style="52" customWidth="1"/>
    <col min="10255" max="10255" width="15" style="52" bestFit="1" customWidth="1"/>
    <col min="10256" max="10257" width="11.5546875" style="52"/>
    <col min="10258" max="10258" width="13.88671875" style="52" bestFit="1" customWidth="1"/>
    <col min="10259" max="10495" width="11.5546875" style="52"/>
    <col min="10496" max="10496" width="8.33203125" style="52" customWidth="1"/>
    <col min="10497" max="10497" width="21.109375" style="52" bestFit="1" customWidth="1"/>
    <col min="10498" max="10498" width="7.88671875" style="52" customWidth="1"/>
    <col min="10499" max="10499" width="23.5546875" style="52" bestFit="1" customWidth="1"/>
    <col min="10500" max="10500" width="10.33203125" style="52" customWidth="1"/>
    <col min="10501" max="10501" width="13.109375" style="52" customWidth="1"/>
    <col min="10502" max="10503" width="9.88671875" style="52" customWidth="1"/>
    <col min="10504" max="10504" width="15.5546875" style="52" bestFit="1" customWidth="1"/>
    <col min="10505" max="10506" width="11" style="52" customWidth="1"/>
    <col min="10507" max="10507" width="11.5546875" style="52" customWidth="1"/>
    <col min="10508" max="10508" width="11.6640625" style="52" bestFit="1" customWidth="1"/>
    <col min="10509" max="10510" width="10.44140625" style="52" customWidth="1"/>
    <col min="10511" max="10511" width="15" style="52" bestFit="1" customWidth="1"/>
    <col min="10512" max="10513" width="11.5546875" style="52"/>
    <col min="10514" max="10514" width="13.88671875" style="52" bestFit="1" customWidth="1"/>
    <col min="10515" max="10751" width="11.5546875" style="52"/>
    <col min="10752" max="10752" width="8.33203125" style="52" customWidth="1"/>
    <col min="10753" max="10753" width="21.109375" style="52" bestFit="1" customWidth="1"/>
    <col min="10754" max="10754" width="7.88671875" style="52" customWidth="1"/>
    <col min="10755" max="10755" width="23.5546875" style="52" bestFit="1" customWidth="1"/>
    <col min="10756" max="10756" width="10.33203125" style="52" customWidth="1"/>
    <col min="10757" max="10757" width="13.109375" style="52" customWidth="1"/>
    <col min="10758" max="10759" width="9.88671875" style="52" customWidth="1"/>
    <col min="10760" max="10760" width="15.5546875" style="52" bestFit="1" customWidth="1"/>
    <col min="10761" max="10762" width="11" style="52" customWidth="1"/>
    <col min="10763" max="10763" width="11.5546875" style="52" customWidth="1"/>
    <col min="10764" max="10764" width="11.6640625" style="52" bestFit="1" customWidth="1"/>
    <col min="10765" max="10766" width="10.44140625" style="52" customWidth="1"/>
    <col min="10767" max="10767" width="15" style="52" bestFit="1" customWidth="1"/>
    <col min="10768" max="10769" width="11.5546875" style="52"/>
    <col min="10770" max="10770" width="13.88671875" style="52" bestFit="1" customWidth="1"/>
    <col min="10771" max="11007" width="11.5546875" style="52"/>
    <col min="11008" max="11008" width="8.33203125" style="52" customWidth="1"/>
    <col min="11009" max="11009" width="21.109375" style="52" bestFit="1" customWidth="1"/>
    <col min="11010" max="11010" width="7.88671875" style="52" customWidth="1"/>
    <col min="11011" max="11011" width="23.5546875" style="52" bestFit="1" customWidth="1"/>
    <col min="11012" max="11012" width="10.33203125" style="52" customWidth="1"/>
    <col min="11013" max="11013" width="13.109375" style="52" customWidth="1"/>
    <col min="11014" max="11015" width="9.88671875" style="52" customWidth="1"/>
    <col min="11016" max="11016" width="15.5546875" style="52" bestFit="1" customWidth="1"/>
    <col min="11017" max="11018" width="11" style="52" customWidth="1"/>
    <col min="11019" max="11019" width="11.5546875" style="52" customWidth="1"/>
    <col min="11020" max="11020" width="11.6640625" style="52" bestFit="1" customWidth="1"/>
    <col min="11021" max="11022" width="10.44140625" style="52" customWidth="1"/>
    <col min="11023" max="11023" width="15" style="52" bestFit="1" customWidth="1"/>
    <col min="11024" max="11025" width="11.5546875" style="52"/>
    <col min="11026" max="11026" width="13.88671875" style="52" bestFit="1" customWidth="1"/>
    <col min="11027" max="11263" width="11.5546875" style="52"/>
    <col min="11264" max="11264" width="8.33203125" style="52" customWidth="1"/>
    <col min="11265" max="11265" width="21.109375" style="52" bestFit="1" customWidth="1"/>
    <col min="11266" max="11266" width="7.88671875" style="52" customWidth="1"/>
    <col min="11267" max="11267" width="23.5546875" style="52" bestFit="1" customWidth="1"/>
    <col min="11268" max="11268" width="10.33203125" style="52" customWidth="1"/>
    <col min="11269" max="11269" width="13.109375" style="52" customWidth="1"/>
    <col min="11270" max="11271" width="9.88671875" style="52" customWidth="1"/>
    <col min="11272" max="11272" width="15.5546875" style="52" bestFit="1" customWidth="1"/>
    <col min="11273" max="11274" width="11" style="52" customWidth="1"/>
    <col min="11275" max="11275" width="11.5546875" style="52" customWidth="1"/>
    <col min="11276" max="11276" width="11.6640625" style="52" bestFit="1" customWidth="1"/>
    <col min="11277" max="11278" width="10.44140625" style="52" customWidth="1"/>
    <col min="11279" max="11279" width="15" style="52" bestFit="1" customWidth="1"/>
    <col min="11280" max="11281" width="11.5546875" style="52"/>
    <col min="11282" max="11282" width="13.88671875" style="52" bestFit="1" customWidth="1"/>
    <col min="11283" max="11519" width="11.5546875" style="52"/>
    <col min="11520" max="11520" width="8.33203125" style="52" customWidth="1"/>
    <col min="11521" max="11521" width="21.109375" style="52" bestFit="1" customWidth="1"/>
    <col min="11522" max="11522" width="7.88671875" style="52" customWidth="1"/>
    <col min="11523" max="11523" width="23.5546875" style="52" bestFit="1" customWidth="1"/>
    <col min="11524" max="11524" width="10.33203125" style="52" customWidth="1"/>
    <col min="11525" max="11525" width="13.109375" style="52" customWidth="1"/>
    <col min="11526" max="11527" width="9.88671875" style="52" customWidth="1"/>
    <col min="11528" max="11528" width="15.5546875" style="52" bestFit="1" customWidth="1"/>
    <col min="11529" max="11530" width="11" style="52" customWidth="1"/>
    <col min="11531" max="11531" width="11.5546875" style="52" customWidth="1"/>
    <col min="11532" max="11532" width="11.6640625" style="52" bestFit="1" customWidth="1"/>
    <col min="11533" max="11534" width="10.44140625" style="52" customWidth="1"/>
    <col min="11535" max="11535" width="15" style="52" bestFit="1" customWidth="1"/>
    <col min="11536" max="11537" width="11.5546875" style="52"/>
    <col min="11538" max="11538" width="13.88671875" style="52" bestFit="1" customWidth="1"/>
    <col min="11539" max="11775" width="11.5546875" style="52"/>
    <col min="11776" max="11776" width="8.33203125" style="52" customWidth="1"/>
    <col min="11777" max="11777" width="21.109375" style="52" bestFit="1" customWidth="1"/>
    <col min="11778" max="11778" width="7.88671875" style="52" customWidth="1"/>
    <col min="11779" max="11779" width="23.5546875" style="52" bestFit="1" customWidth="1"/>
    <col min="11780" max="11780" width="10.33203125" style="52" customWidth="1"/>
    <col min="11781" max="11781" width="13.109375" style="52" customWidth="1"/>
    <col min="11782" max="11783" width="9.88671875" style="52" customWidth="1"/>
    <col min="11784" max="11784" width="15.5546875" style="52" bestFit="1" customWidth="1"/>
    <col min="11785" max="11786" width="11" style="52" customWidth="1"/>
    <col min="11787" max="11787" width="11.5546875" style="52" customWidth="1"/>
    <col min="11788" max="11788" width="11.6640625" style="52" bestFit="1" customWidth="1"/>
    <col min="11789" max="11790" width="10.44140625" style="52" customWidth="1"/>
    <col min="11791" max="11791" width="15" style="52" bestFit="1" customWidth="1"/>
    <col min="11792" max="11793" width="11.5546875" style="52"/>
    <col min="11794" max="11794" width="13.88671875" style="52" bestFit="1" customWidth="1"/>
    <col min="11795" max="12031" width="11.5546875" style="52"/>
    <col min="12032" max="12032" width="8.33203125" style="52" customWidth="1"/>
    <col min="12033" max="12033" width="21.109375" style="52" bestFit="1" customWidth="1"/>
    <col min="12034" max="12034" width="7.88671875" style="52" customWidth="1"/>
    <col min="12035" max="12035" width="23.5546875" style="52" bestFit="1" customWidth="1"/>
    <col min="12036" max="12036" width="10.33203125" style="52" customWidth="1"/>
    <col min="12037" max="12037" width="13.109375" style="52" customWidth="1"/>
    <col min="12038" max="12039" width="9.88671875" style="52" customWidth="1"/>
    <col min="12040" max="12040" width="15.5546875" style="52" bestFit="1" customWidth="1"/>
    <col min="12041" max="12042" width="11" style="52" customWidth="1"/>
    <col min="12043" max="12043" width="11.5546875" style="52" customWidth="1"/>
    <col min="12044" max="12044" width="11.6640625" style="52" bestFit="1" customWidth="1"/>
    <col min="12045" max="12046" width="10.44140625" style="52" customWidth="1"/>
    <col min="12047" max="12047" width="15" style="52" bestFit="1" customWidth="1"/>
    <col min="12048" max="12049" width="11.5546875" style="52"/>
    <col min="12050" max="12050" width="13.88671875" style="52" bestFit="1" customWidth="1"/>
    <col min="12051" max="12287" width="11.5546875" style="52"/>
    <col min="12288" max="12288" width="8.33203125" style="52" customWidth="1"/>
    <col min="12289" max="12289" width="21.109375" style="52" bestFit="1" customWidth="1"/>
    <col min="12290" max="12290" width="7.88671875" style="52" customWidth="1"/>
    <col min="12291" max="12291" width="23.5546875" style="52" bestFit="1" customWidth="1"/>
    <col min="12292" max="12292" width="10.33203125" style="52" customWidth="1"/>
    <col min="12293" max="12293" width="13.109375" style="52" customWidth="1"/>
    <col min="12294" max="12295" width="9.88671875" style="52" customWidth="1"/>
    <col min="12296" max="12296" width="15.5546875" style="52" bestFit="1" customWidth="1"/>
    <col min="12297" max="12298" width="11" style="52" customWidth="1"/>
    <col min="12299" max="12299" width="11.5546875" style="52" customWidth="1"/>
    <col min="12300" max="12300" width="11.6640625" style="52" bestFit="1" customWidth="1"/>
    <col min="12301" max="12302" width="10.44140625" style="52" customWidth="1"/>
    <col min="12303" max="12303" width="15" style="52" bestFit="1" customWidth="1"/>
    <col min="12304" max="12305" width="11.5546875" style="52"/>
    <col min="12306" max="12306" width="13.88671875" style="52" bestFit="1" customWidth="1"/>
    <col min="12307" max="12543" width="11.5546875" style="52"/>
    <col min="12544" max="12544" width="8.33203125" style="52" customWidth="1"/>
    <col min="12545" max="12545" width="21.109375" style="52" bestFit="1" customWidth="1"/>
    <col min="12546" max="12546" width="7.88671875" style="52" customWidth="1"/>
    <col min="12547" max="12547" width="23.5546875" style="52" bestFit="1" customWidth="1"/>
    <col min="12548" max="12548" width="10.33203125" style="52" customWidth="1"/>
    <col min="12549" max="12549" width="13.109375" style="52" customWidth="1"/>
    <col min="12550" max="12551" width="9.88671875" style="52" customWidth="1"/>
    <col min="12552" max="12552" width="15.5546875" style="52" bestFit="1" customWidth="1"/>
    <col min="12553" max="12554" width="11" style="52" customWidth="1"/>
    <col min="12555" max="12555" width="11.5546875" style="52" customWidth="1"/>
    <col min="12556" max="12556" width="11.6640625" style="52" bestFit="1" customWidth="1"/>
    <col min="12557" max="12558" width="10.44140625" style="52" customWidth="1"/>
    <col min="12559" max="12559" width="15" style="52" bestFit="1" customWidth="1"/>
    <col min="12560" max="12561" width="11.5546875" style="52"/>
    <col min="12562" max="12562" width="13.88671875" style="52" bestFit="1" customWidth="1"/>
    <col min="12563" max="12799" width="11.5546875" style="52"/>
    <col min="12800" max="12800" width="8.33203125" style="52" customWidth="1"/>
    <col min="12801" max="12801" width="21.109375" style="52" bestFit="1" customWidth="1"/>
    <col min="12802" max="12802" width="7.88671875" style="52" customWidth="1"/>
    <col min="12803" max="12803" width="23.5546875" style="52" bestFit="1" customWidth="1"/>
    <col min="12804" max="12804" width="10.33203125" style="52" customWidth="1"/>
    <col min="12805" max="12805" width="13.109375" style="52" customWidth="1"/>
    <col min="12806" max="12807" width="9.88671875" style="52" customWidth="1"/>
    <col min="12808" max="12808" width="15.5546875" style="52" bestFit="1" customWidth="1"/>
    <col min="12809" max="12810" width="11" style="52" customWidth="1"/>
    <col min="12811" max="12811" width="11.5546875" style="52" customWidth="1"/>
    <col min="12812" max="12812" width="11.6640625" style="52" bestFit="1" customWidth="1"/>
    <col min="12813" max="12814" width="10.44140625" style="52" customWidth="1"/>
    <col min="12815" max="12815" width="15" style="52" bestFit="1" customWidth="1"/>
    <col min="12816" max="12817" width="11.5546875" style="52"/>
    <col min="12818" max="12818" width="13.88671875" style="52" bestFit="1" customWidth="1"/>
    <col min="12819" max="13055" width="11.5546875" style="52"/>
    <col min="13056" max="13056" width="8.33203125" style="52" customWidth="1"/>
    <col min="13057" max="13057" width="21.109375" style="52" bestFit="1" customWidth="1"/>
    <col min="13058" max="13058" width="7.88671875" style="52" customWidth="1"/>
    <col min="13059" max="13059" width="23.5546875" style="52" bestFit="1" customWidth="1"/>
    <col min="13060" max="13060" width="10.33203125" style="52" customWidth="1"/>
    <col min="13061" max="13061" width="13.109375" style="52" customWidth="1"/>
    <col min="13062" max="13063" width="9.88671875" style="52" customWidth="1"/>
    <col min="13064" max="13064" width="15.5546875" style="52" bestFit="1" customWidth="1"/>
    <col min="13065" max="13066" width="11" style="52" customWidth="1"/>
    <col min="13067" max="13067" width="11.5546875" style="52" customWidth="1"/>
    <col min="13068" max="13068" width="11.6640625" style="52" bestFit="1" customWidth="1"/>
    <col min="13069" max="13070" width="10.44140625" style="52" customWidth="1"/>
    <col min="13071" max="13071" width="15" style="52" bestFit="1" customWidth="1"/>
    <col min="13072" max="13073" width="11.5546875" style="52"/>
    <col min="13074" max="13074" width="13.88671875" style="52" bestFit="1" customWidth="1"/>
    <col min="13075" max="13311" width="11.5546875" style="52"/>
    <col min="13312" max="13312" width="8.33203125" style="52" customWidth="1"/>
    <col min="13313" max="13313" width="21.109375" style="52" bestFit="1" customWidth="1"/>
    <col min="13314" max="13314" width="7.88671875" style="52" customWidth="1"/>
    <col min="13315" max="13315" width="23.5546875" style="52" bestFit="1" customWidth="1"/>
    <col min="13316" max="13316" width="10.33203125" style="52" customWidth="1"/>
    <col min="13317" max="13317" width="13.109375" style="52" customWidth="1"/>
    <col min="13318" max="13319" width="9.88671875" style="52" customWidth="1"/>
    <col min="13320" max="13320" width="15.5546875" style="52" bestFit="1" customWidth="1"/>
    <col min="13321" max="13322" width="11" style="52" customWidth="1"/>
    <col min="13323" max="13323" width="11.5546875" style="52" customWidth="1"/>
    <col min="13324" max="13324" width="11.6640625" style="52" bestFit="1" customWidth="1"/>
    <col min="13325" max="13326" width="10.44140625" style="52" customWidth="1"/>
    <col min="13327" max="13327" width="15" style="52" bestFit="1" customWidth="1"/>
    <col min="13328" max="13329" width="11.5546875" style="52"/>
    <col min="13330" max="13330" width="13.88671875" style="52" bestFit="1" customWidth="1"/>
    <col min="13331" max="13567" width="11.5546875" style="52"/>
    <col min="13568" max="13568" width="8.33203125" style="52" customWidth="1"/>
    <col min="13569" max="13569" width="21.109375" style="52" bestFit="1" customWidth="1"/>
    <col min="13570" max="13570" width="7.88671875" style="52" customWidth="1"/>
    <col min="13571" max="13571" width="23.5546875" style="52" bestFit="1" customWidth="1"/>
    <col min="13572" max="13572" width="10.33203125" style="52" customWidth="1"/>
    <col min="13573" max="13573" width="13.109375" style="52" customWidth="1"/>
    <col min="13574" max="13575" width="9.88671875" style="52" customWidth="1"/>
    <col min="13576" max="13576" width="15.5546875" style="52" bestFit="1" customWidth="1"/>
    <col min="13577" max="13578" width="11" style="52" customWidth="1"/>
    <col min="13579" max="13579" width="11.5546875" style="52" customWidth="1"/>
    <col min="13580" max="13580" width="11.6640625" style="52" bestFit="1" customWidth="1"/>
    <col min="13581" max="13582" width="10.44140625" style="52" customWidth="1"/>
    <col min="13583" max="13583" width="15" style="52" bestFit="1" customWidth="1"/>
    <col min="13584" max="13585" width="11.5546875" style="52"/>
    <col min="13586" max="13586" width="13.88671875" style="52" bestFit="1" customWidth="1"/>
    <col min="13587" max="13823" width="11.5546875" style="52"/>
    <col min="13824" max="13824" width="8.33203125" style="52" customWidth="1"/>
    <col min="13825" max="13825" width="21.109375" style="52" bestFit="1" customWidth="1"/>
    <col min="13826" max="13826" width="7.88671875" style="52" customWidth="1"/>
    <col min="13827" max="13827" width="23.5546875" style="52" bestFit="1" customWidth="1"/>
    <col min="13828" max="13828" width="10.33203125" style="52" customWidth="1"/>
    <col min="13829" max="13829" width="13.109375" style="52" customWidth="1"/>
    <col min="13830" max="13831" width="9.88671875" style="52" customWidth="1"/>
    <col min="13832" max="13832" width="15.5546875" style="52" bestFit="1" customWidth="1"/>
    <col min="13833" max="13834" width="11" style="52" customWidth="1"/>
    <col min="13835" max="13835" width="11.5546875" style="52" customWidth="1"/>
    <col min="13836" max="13836" width="11.6640625" style="52" bestFit="1" customWidth="1"/>
    <col min="13837" max="13838" width="10.44140625" style="52" customWidth="1"/>
    <col min="13839" max="13839" width="15" style="52" bestFit="1" customWidth="1"/>
    <col min="13840" max="13841" width="11.5546875" style="52"/>
    <col min="13842" max="13842" width="13.88671875" style="52" bestFit="1" customWidth="1"/>
    <col min="13843" max="14079" width="11.5546875" style="52"/>
    <col min="14080" max="14080" width="8.33203125" style="52" customWidth="1"/>
    <col min="14081" max="14081" width="21.109375" style="52" bestFit="1" customWidth="1"/>
    <col min="14082" max="14082" width="7.88671875" style="52" customWidth="1"/>
    <col min="14083" max="14083" width="23.5546875" style="52" bestFit="1" customWidth="1"/>
    <col min="14084" max="14084" width="10.33203125" style="52" customWidth="1"/>
    <col min="14085" max="14085" width="13.109375" style="52" customWidth="1"/>
    <col min="14086" max="14087" width="9.88671875" style="52" customWidth="1"/>
    <col min="14088" max="14088" width="15.5546875" style="52" bestFit="1" customWidth="1"/>
    <col min="14089" max="14090" width="11" style="52" customWidth="1"/>
    <col min="14091" max="14091" width="11.5546875" style="52" customWidth="1"/>
    <col min="14092" max="14092" width="11.6640625" style="52" bestFit="1" customWidth="1"/>
    <col min="14093" max="14094" width="10.44140625" style="52" customWidth="1"/>
    <col min="14095" max="14095" width="15" style="52" bestFit="1" customWidth="1"/>
    <col min="14096" max="14097" width="11.5546875" style="52"/>
    <col min="14098" max="14098" width="13.88671875" style="52" bestFit="1" customWidth="1"/>
    <col min="14099" max="14335" width="11.5546875" style="52"/>
    <col min="14336" max="14336" width="8.33203125" style="52" customWidth="1"/>
    <col min="14337" max="14337" width="21.109375" style="52" bestFit="1" customWidth="1"/>
    <col min="14338" max="14338" width="7.88671875" style="52" customWidth="1"/>
    <col min="14339" max="14339" width="23.5546875" style="52" bestFit="1" customWidth="1"/>
    <col min="14340" max="14340" width="10.33203125" style="52" customWidth="1"/>
    <col min="14341" max="14341" width="13.109375" style="52" customWidth="1"/>
    <col min="14342" max="14343" width="9.88671875" style="52" customWidth="1"/>
    <col min="14344" max="14344" width="15.5546875" style="52" bestFit="1" customWidth="1"/>
    <col min="14345" max="14346" width="11" style="52" customWidth="1"/>
    <col min="14347" max="14347" width="11.5546875" style="52" customWidth="1"/>
    <col min="14348" max="14348" width="11.6640625" style="52" bestFit="1" customWidth="1"/>
    <col min="14349" max="14350" width="10.44140625" style="52" customWidth="1"/>
    <col min="14351" max="14351" width="15" style="52" bestFit="1" customWidth="1"/>
    <col min="14352" max="14353" width="11.5546875" style="52"/>
    <col min="14354" max="14354" width="13.88671875" style="52" bestFit="1" customWidth="1"/>
    <col min="14355" max="14591" width="11.5546875" style="52"/>
    <col min="14592" max="14592" width="8.33203125" style="52" customWidth="1"/>
    <col min="14593" max="14593" width="21.109375" style="52" bestFit="1" customWidth="1"/>
    <col min="14594" max="14594" width="7.88671875" style="52" customWidth="1"/>
    <col min="14595" max="14595" width="23.5546875" style="52" bestFit="1" customWidth="1"/>
    <col min="14596" max="14596" width="10.33203125" style="52" customWidth="1"/>
    <col min="14597" max="14597" width="13.109375" style="52" customWidth="1"/>
    <col min="14598" max="14599" width="9.88671875" style="52" customWidth="1"/>
    <col min="14600" max="14600" width="15.5546875" style="52" bestFit="1" customWidth="1"/>
    <col min="14601" max="14602" width="11" style="52" customWidth="1"/>
    <col min="14603" max="14603" width="11.5546875" style="52" customWidth="1"/>
    <col min="14604" max="14604" width="11.6640625" style="52" bestFit="1" customWidth="1"/>
    <col min="14605" max="14606" width="10.44140625" style="52" customWidth="1"/>
    <col min="14607" max="14607" width="15" style="52" bestFit="1" customWidth="1"/>
    <col min="14608" max="14609" width="11.5546875" style="52"/>
    <col min="14610" max="14610" width="13.88671875" style="52" bestFit="1" customWidth="1"/>
    <col min="14611" max="14847" width="11.5546875" style="52"/>
    <col min="14848" max="14848" width="8.33203125" style="52" customWidth="1"/>
    <col min="14849" max="14849" width="21.109375" style="52" bestFit="1" customWidth="1"/>
    <col min="14850" max="14850" width="7.88671875" style="52" customWidth="1"/>
    <col min="14851" max="14851" width="23.5546875" style="52" bestFit="1" customWidth="1"/>
    <col min="14852" max="14852" width="10.33203125" style="52" customWidth="1"/>
    <col min="14853" max="14853" width="13.109375" style="52" customWidth="1"/>
    <col min="14854" max="14855" width="9.88671875" style="52" customWidth="1"/>
    <col min="14856" max="14856" width="15.5546875" style="52" bestFit="1" customWidth="1"/>
    <col min="14857" max="14858" width="11" style="52" customWidth="1"/>
    <col min="14859" max="14859" width="11.5546875" style="52" customWidth="1"/>
    <col min="14860" max="14860" width="11.6640625" style="52" bestFit="1" customWidth="1"/>
    <col min="14861" max="14862" width="10.44140625" style="52" customWidth="1"/>
    <col min="14863" max="14863" width="15" style="52" bestFit="1" customWidth="1"/>
    <col min="14864" max="14865" width="11.5546875" style="52"/>
    <col min="14866" max="14866" width="13.88671875" style="52" bestFit="1" customWidth="1"/>
    <col min="14867" max="15103" width="11.5546875" style="52"/>
    <col min="15104" max="15104" width="8.33203125" style="52" customWidth="1"/>
    <col min="15105" max="15105" width="21.109375" style="52" bestFit="1" customWidth="1"/>
    <col min="15106" max="15106" width="7.88671875" style="52" customWidth="1"/>
    <col min="15107" max="15107" width="23.5546875" style="52" bestFit="1" customWidth="1"/>
    <col min="15108" max="15108" width="10.33203125" style="52" customWidth="1"/>
    <col min="15109" max="15109" width="13.109375" style="52" customWidth="1"/>
    <col min="15110" max="15111" width="9.88671875" style="52" customWidth="1"/>
    <col min="15112" max="15112" width="15.5546875" style="52" bestFit="1" customWidth="1"/>
    <col min="15113" max="15114" width="11" style="52" customWidth="1"/>
    <col min="15115" max="15115" width="11.5546875" style="52" customWidth="1"/>
    <col min="15116" max="15116" width="11.6640625" style="52" bestFit="1" customWidth="1"/>
    <col min="15117" max="15118" width="10.44140625" style="52" customWidth="1"/>
    <col min="15119" max="15119" width="15" style="52" bestFit="1" customWidth="1"/>
    <col min="15120" max="15121" width="11.5546875" style="52"/>
    <col min="15122" max="15122" width="13.88671875" style="52" bestFit="1" customWidth="1"/>
    <col min="15123" max="15359" width="11.5546875" style="52"/>
    <col min="15360" max="15360" width="8.33203125" style="52" customWidth="1"/>
    <col min="15361" max="15361" width="21.109375" style="52" bestFit="1" customWidth="1"/>
    <col min="15362" max="15362" width="7.88671875" style="52" customWidth="1"/>
    <col min="15363" max="15363" width="23.5546875" style="52" bestFit="1" customWidth="1"/>
    <col min="15364" max="15364" width="10.33203125" style="52" customWidth="1"/>
    <col min="15365" max="15365" width="13.109375" style="52" customWidth="1"/>
    <col min="15366" max="15367" width="9.88671875" style="52" customWidth="1"/>
    <col min="15368" max="15368" width="15.5546875" style="52" bestFit="1" customWidth="1"/>
    <col min="15369" max="15370" width="11" style="52" customWidth="1"/>
    <col min="15371" max="15371" width="11.5546875" style="52" customWidth="1"/>
    <col min="15372" max="15372" width="11.6640625" style="52" bestFit="1" customWidth="1"/>
    <col min="15373" max="15374" width="10.44140625" style="52" customWidth="1"/>
    <col min="15375" max="15375" width="15" style="52" bestFit="1" customWidth="1"/>
    <col min="15376" max="15377" width="11.5546875" style="52"/>
    <col min="15378" max="15378" width="13.88671875" style="52" bestFit="1" customWidth="1"/>
    <col min="15379" max="15615" width="11.5546875" style="52"/>
    <col min="15616" max="15616" width="8.33203125" style="52" customWidth="1"/>
    <col min="15617" max="15617" width="21.109375" style="52" bestFit="1" customWidth="1"/>
    <col min="15618" max="15618" width="7.88671875" style="52" customWidth="1"/>
    <col min="15619" max="15619" width="23.5546875" style="52" bestFit="1" customWidth="1"/>
    <col min="15620" max="15620" width="10.33203125" style="52" customWidth="1"/>
    <col min="15621" max="15621" width="13.109375" style="52" customWidth="1"/>
    <col min="15622" max="15623" width="9.88671875" style="52" customWidth="1"/>
    <col min="15624" max="15624" width="15.5546875" style="52" bestFit="1" customWidth="1"/>
    <col min="15625" max="15626" width="11" style="52" customWidth="1"/>
    <col min="15627" max="15627" width="11.5546875" style="52" customWidth="1"/>
    <col min="15628" max="15628" width="11.6640625" style="52" bestFit="1" customWidth="1"/>
    <col min="15629" max="15630" width="10.44140625" style="52" customWidth="1"/>
    <col min="15631" max="15631" width="15" style="52" bestFit="1" customWidth="1"/>
    <col min="15632" max="15633" width="11.5546875" style="52"/>
    <col min="15634" max="15634" width="13.88671875" style="52" bestFit="1" customWidth="1"/>
    <col min="15635" max="15871" width="11.5546875" style="52"/>
    <col min="15872" max="15872" width="8.33203125" style="52" customWidth="1"/>
    <col min="15873" max="15873" width="21.109375" style="52" bestFit="1" customWidth="1"/>
    <col min="15874" max="15874" width="7.88671875" style="52" customWidth="1"/>
    <col min="15875" max="15875" width="23.5546875" style="52" bestFit="1" customWidth="1"/>
    <col min="15876" max="15876" width="10.33203125" style="52" customWidth="1"/>
    <col min="15877" max="15877" width="13.109375" style="52" customWidth="1"/>
    <col min="15878" max="15879" width="9.88671875" style="52" customWidth="1"/>
    <col min="15880" max="15880" width="15.5546875" style="52" bestFit="1" customWidth="1"/>
    <col min="15881" max="15882" width="11" style="52" customWidth="1"/>
    <col min="15883" max="15883" width="11.5546875" style="52" customWidth="1"/>
    <col min="15884" max="15884" width="11.6640625" style="52" bestFit="1" customWidth="1"/>
    <col min="15885" max="15886" width="10.44140625" style="52" customWidth="1"/>
    <col min="15887" max="15887" width="15" style="52" bestFit="1" customWidth="1"/>
    <col min="15888" max="15889" width="11.5546875" style="52"/>
    <col min="15890" max="15890" width="13.88671875" style="52" bestFit="1" customWidth="1"/>
    <col min="15891" max="16127" width="11.5546875" style="52"/>
    <col min="16128" max="16128" width="8.33203125" style="52" customWidth="1"/>
    <col min="16129" max="16129" width="21.109375" style="52" bestFit="1" customWidth="1"/>
    <col min="16130" max="16130" width="7.88671875" style="52" customWidth="1"/>
    <col min="16131" max="16131" width="23.5546875" style="52" bestFit="1" customWidth="1"/>
    <col min="16132" max="16132" width="10.33203125" style="52" customWidth="1"/>
    <col min="16133" max="16133" width="13.109375" style="52" customWidth="1"/>
    <col min="16134" max="16135" width="9.88671875" style="52" customWidth="1"/>
    <col min="16136" max="16136" width="15.5546875" style="52" bestFit="1" customWidth="1"/>
    <col min="16137" max="16138" width="11" style="52" customWidth="1"/>
    <col min="16139" max="16139" width="11.5546875" style="52" customWidth="1"/>
    <col min="16140" max="16140" width="11.6640625" style="52" bestFit="1" customWidth="1"/>
    <col min="16141" max="16142" width="10.44140625" style="52" customWidth="1"/>
    <col min="16143" max="16143" width="15" style="52" bestFit="1" customWidth="1"/>
    <col min="16144" max="16145" width="11.5546875" style="52"/>
    <col min="16146" max="16146" width="13.88671875" style="52" bestFit="1" customWidth="1"/>
    <col min="16147" max="16381" width="11.5546875" style="52"/>
    <col min="16382" max="16384" width="11.44140625" style="52" customWidth="1"/>
  </cols>
  <sheetData>
    <row r="1" spans="1:21" ht="26.25" customHeight="1" x14ac:dyDescent="0.2">
      <c r="A1" s="601" t="s">
        <v>622</v>
      </c>
      <c r="B1" s="601"/>
      <c r="C1" s="601"/>
      <c r="D1" s="601"/>
      <c r="E1" s="601"/>
      <c r="F1" s="601"/>
      <c r="G1" s="601"/>
      <c r="H1" s="601"/>
      <c r="I1" s="601"/>
      <c r="J1" s="601"/>
      <c r="K1" s="601"/>
      <c r="L1" s="601"/>
      <c r="M1" s="601"/>
      <c r="N1" s="601"/>
      <c r="O1" s="601"/>
      <c r="P1" s="165"/>
      <c r="Q1" s="165"/>
    </row>
    <row r="2" spans="1:21" s="53" customFormat="1" ht="45" customHeight="1" x14ac:dyDescent="0.3">
      <c r="B2" s="82" t="s">
        <v>2</v>
      </c>
      <c r="C2" s="83" t="str">
        <f>Basisdaten!B5</f>
        <v>Gemeinde Oberhaching</v>
      </c>
      <c r="D2" s="83"/>
      <c r="E2" s="168" t="s">
        <v>3</v>
      </c>
      <c r="F2" s="660">
        <f>Basisdaten!E5</f>
        <v>0</v>
      </c>
      <c r="G2" s="660"/>
      <c r="H2" s="660"/>
      <c r="I2" s="660"/>
      <c r="J2" s="660"/>
      <c r="K2" s="660"/>
      <c r="L2" s="168" t="s">
        <v>1</v>
      </c>
      <c r="M2" s="168"/>
      <c r="N2" s="656">
        <f>Basisdaten!E3</f>
        <v>0</v>
      </c>
      <c r="O2" s="656"/>
      <c r="P2" s="90"/>
      <c r="Q2" s="166"/>
      <c r="R2" s="166"/>
      <c r="S2" s="167"/>
      <c r="U2" s="91"/>
    </row>
    <row r="3" spans="1:21" s="53" customFormat="1" ht="19.5" customHeight="1" x14ac:dyDescent="0.3">
      <c r="B3" s="85" t="s">
        <v>4</v>
      </c>
      <c r="C3" s="83" t="s">
        <v>271</v>
      </c>
      <c r="D3" s="83"/>
      <c r="E3" s="85"/>
      <c r="F3" s="170"/>
      <c r="G3" s="171"/>
      <c r="H3" s="171"/>
      <c r="I3" s="171"/>
      <c r="J3" s="171"/>
      <c r="K3" s="169"/>
      <c r="L3" s="172"/>
      <c r="M3" s="168"/>
      <c r="N3" s="168"/>
      <c r="O3" s="168"/>
      <c r="Q3" s="166"/>
      <c r="R3" s="166"/>
      <c r="S3" s="167"/>
      <c r="U3" s="91"/>
    </row>
    <row r="4" spans="1:21" s="53" customFormat="1" ht="19.5" customHeight="1" x14ac:dyDescent="0.3">
      <c r="E4" s="173"/>
      <c r="F4" s="85"/>
      <c r="G4" s="85"/>
      <c r="H4" s="85"/>
      <c r="I4" s="85"/>
      <c r="J4" s="85"/>
      <c r="K4" s="410" t="s">
        <v>358</v>
      </c>
      <c r="L4" s="411">
        <f>'SVS Innenglas'!F77</f>
        <v>0</v>
      </c>
      <c r="M4" s="172"/>
      <c r="N4" s="591" t="s">
        <v>106</v>
      </c>
      <c r="O4" s="174"/>
      <c r="Q4" s="166"/>
      <c r="R4" s="166"/>
      <c r="S4" s="167"/>
      <c r="U4" s="91"/>
    </row>
    <row r="5" spans="1:21" ht="5.25" customHeight="1" x14ac:dyDescent="0.2">
      <c r="B5" s="177"/>
      <c r="I5" s="105"/>
      <c r="J5" s="105"/>
      <c r="K5" s="178"/>
      <c r="L5" s="179"/>
      <c r="M5" s="179"/>
      <c r="N5" s="179"/>
      <c r="O5" s="179"/>
      <c r="Q5" s="175"/>
      <c r="R5" s="175"/>
      <c r="S5" s="176"/>
      <c r="U5" s="106"/>
    </row>
    <row r="6" spans="1:21" s="56" customFormat="1" ht="37.799999999999997" customHeight="1" x14ac:dyDescent="0.25">
      <c r="B6" s="180"/>
      <c r="C6" s="180"/>
      <c r="D6" s="180"/>
      <c r="E6" s="181"/>
      <c r="F6" s="657" t="s">
        <v>946</v>
      </c>
      <c r="G6" s="658"/>
      <c r="H6" s="182"/>
      <c r="I6" s="657" t="s">
        <v>77</v>
      </c>
      <c r="J6" s="658"/>
      <c r="K6" s="183"/>
      <c r="L6" s="184"/>
      <c r="M6" s="659" t="s">
        <v>107</v>
      </c>
      <c r="N6" s="659"/>
      <c r="O6" s="185"/>
    </row>
    <row r="7" spans="1:21" s="57" customFormat="1" ht="45" customHeight="1" x14ac:dyDescent="0.3">
      <c r="A7" s="54" t="s">
        <v>272</v>
      </c>
      <c r="B7" s="54" t="s">
        <v>250</v>
      </c>
      <c r="C7" s="54" t="s">
        <v>248</v>
      </c>
      <c r="D7" s="54" t="s">
        <v>103</v>
      </c>
      <c r="E7" s="55" t="s">
        <v>249</v>
      </c>
      <c r="F7" s="94" t="s">
        <v>108</v>
      </c>
      <c r="G7" s="94" t="s">
        <v>109</v>
      </c>
      <c r="H7" s="55" t="s">
        <v>76</v>
      </c>
      <c r="I7" s="94" t="s">
        <v>108</v>
      </c>
      <c r="J7" s="94" t="s">
        <v>109</v>
      </c>
      <c r="K7" s="95" t="s">
        <v>78</v>
      </c>
      <c r="L7" s="96" t="s">
        <v>79</v>
      </c>
      <c r="M7" s="94" t="s">
        <v>108</v>
      </c>
      <c r="N7" s="94" t="s">
        <v>109</v>
      </c>
      <c r="O7" s="96" t="s">
        <v>110</v>
      </c>
    </row>
    <row r="8" spans="1:21" s="57" customFormat="1" ht="24" customHeight="1" x14ac:dyDescent="0.25">
      <c r="A8" s="303" t="str">
        <f>'Kalk UHR GS Deisenhofen'!A8</f>
        <v>Schule</v>
      </c>
      <c r="B8" s="303" t="str">
        <f>'Kalk UHR GS Deisenhofen'!B8</f>
        <v>OG</v>
      </c>
      <c r="C8" s="303" t="str">
        <f>'Kalk UHR GS Deisenhofen'!C8</f>
        <v>1.C.01</v>
      </c>
      <c r="D8" s="303" t="str">
        <f>'Kalk UHR GS Deisenhofen'!D8</f>
        <v>Garderobe</v>
      </c>
      <c r="E8" s="229"/>
      <c r="F8" s="195">
        <v>0</v>
      </c>
      <c r="G8" s="195">
        <v>12</v>
      </c>
      <c r="H8" s="186">
        <f t="shared" ref="H8" si="0">+E8*F8+E8*G8</f>
        <v>0</v>
      </c>
      <c r="I8" s="549"/>
      <c r="J8" s="187"/>
      <c r="K8" s="188">
        <f t="shared" ref="K8" si="1">IFERROR((F8*E8/I8),0)+IFERROR((G8*E8/J8),0)</f>
        <v>0</v>
      </c>
      <c r="L8" s="548">
        <f t="shared" ref="L8:L145" si="2">L$4</f>
        <v>0</v>
      </c>
      <c r="M8" s="189">
        <f t="shared" ref="M8" si="3">IF(ISERROR(L8/I8),0,L8/I8)</f>
        <v>0</v>
      </c>
      <c r="N8" s="189">
        <f t="shared" ref="N8" si="4">IF(ISERROR(L8/J8),0,L8/J8)</f>
        <v>0</v>
      </c>
      <c r="O8" s="189">
        <f t="shared" ref="O8" si="5">K8*L8</f>
        <v>0</v>
      </c>
    </row>
    <row r="9" spans="1:21" s="57" customFormat="1" ht="24" customHeight="1" x14ac:dyDescent="0.25">
      <c r="A9" s="303" t="str">
        <f>'Kalk UHR GS Deisenhofen'!A9</f>
        <v>Schule</v>
      </c>
      <c r="B9" s="303" t="str">
        <f>'Kalk UHR GS Deisenhofen'!B9</f>
        <v>OG</v>
      </c>
      <c r="C9" s="303" t="str">
        <f>'Kalk UHR GS Deisenhofen'!C9</f>
        <v>1.C.F.01</v>
      </c>
      <c r="D9" s="303" t="str">
        <f>'Kalk UHR GS Deisenhofen'!D9</f>
        <v>Flur</v>
      </c>
      <c r="E9" s="229">
        <f>2.75*1.85+4.51*0.66+3.55*0.66+2.75*1.15</f>
        <v>13.569599999999999</v>
      </c>
      <c r="F9" s="195">
        <v>0</v>
      </c>
      <c r="G9" s="195">
        <v>12</v>
      </c>
      <c r="H9" s="186">
        <f t="shared" ref="H9" si="6">+E9*F9+E9*G9</f>
        <v>162.83519999999999</v>
      </c>
      <c r="I9" s="549"/>
      <c r="J9" s="187"/>
      <c r="K9" s="188">
        <f t="shared" ref="K9" si="7">IFERROR((F9*E9/I9),0)+IFERROR((G9*E9/J9),0)</f>
        <v>0</v>
      </c>
      <c r="L9" s="548">
        <f t="shared" si="2"/>
        <v>0</v>
      </c>
      <c r="M9" s="189">
        <f t="shared" ref="M9" si="8">IF(ISERROR(L9/I9),0,L9/I9)</f>
        <v>0</v>
      </c>
      <c r="N9" s="189">
        <f t="shared" ref="N9" si="9">IF(ISERROR(L9/J9),0,L9/J9)</f>
        <v>0</v>
      </c>
      <c r="O9" s="189">
        <f t="shared" ref="O9" si="10">K9*L9</f>
        <v>0</v>
      </c>
    </row>
    <row r="10" spans="1:21" s="57" customFormat="1" ht="24" customHeight="1" x14ac:dyDescent="0.25">
      <c r="A10" s="303" t="str">
        <f>'Kalk UHR GS Deisenhofen'!A10</f>
        <v>Schule</v>
      </c>
      <c r="B10" s="303" t="str">
        <f>'Kalk UHR GS Deisenhofen'!B10</f>
        <v>OG</v>
      </c>
      <c r="C10" s="303" t="str">
        <f>'Kalk UHR GS Deisenhofen'!C10</f>
        <v>1.C.T.02</v>
      </c>
      <c r="D10" s="303" t="str">
        <f>'Kalk UHR GS Deisenhofen'!D10</f>
        <v>Treppe</v>
      </c>
      <c r="E10" s="229"/>
      <c r="F10" s="195">
        <v>0</v>
      </c>
      <c r="G10" s="195">
        <v>12</v>
      </c>
      <c r="H10" s="186">
        <f t="shared" ref="H10" si="11">+E10*F10+E10*G10</f>
        <v>0</v>
      </c>
      <c r="I10" s="549"/>
      <c r="J10" s="187"/>
      <c r="K10" s="188">
        <f t="shared" ref="K10" si="12">IFERROR((F10*E10/I10),0)+IFERROR((G10*E10/J10),0)</f>
        <v>0</v>
      </c>
      <c r="L10" s="548">
        <f t="shared" si="2"/>
        <v>0</v>
      </c>
      <c r="M10" s="189">
        <f t="shared" ref="M10" si="13">IF(ISERROR(L10/I10),0,L10/I10)</f>
        <v>0</v>
      </c>
      <c r="N10" s="189">
        <f t="shared" ref="N10" si="14">IF(ISERROR(L10/J10),0,L10/J10)</f>
        <v>0</v>
      </c>
      <c r="O10" s="189">
        <f t="shared" ref="O10" si="15">K10*L10</f>
        <v>0</v>
      </c>
    </row>
    <row r="11" spans="1:21" s="57" customFormat="1" ht="24" customHeight="1" x14ac:dyDescent="0.25">
      <c r="A11" s="303" t="str">
        <f>'Kalk UHR GS Deisenhofen'!A11</f>
        <v>Schule</v>
      </c>
      <c r="B11" s="303" t="str">
        <f>'Kalk UHR GS Deisenhofen'!B11</f>
        <v>OG</v>
      </c>
      <c r="C11" s="303" t="str">
        <f>'Kalk UHR GS Deisenhofen'!C11</f>
        <v>1.A.01</v>
      </c>
      <c r="D11" s="303" t="str">
        <f>'Kalk UHR GS Deisenhofen'!D11</f>
        <v>Technik</v>
      </c>
      <c r="E11" s="229"/>
      <c r="F11" s="195">
        <v>0</v>
      </c>
      <c r="G11" s="195">
        <v>12</v>
      </c>
      <c r="H11" s="186">
        <f t="shared" ref="H11" si="16">+E11*F11+E11*G11</f>
        <v>0</v>
      </c>
      <c r="I11" s="549"/>
      <c r="J11" s="187"/>
      <c r="K11" s="188">
        <f t="shared" ref="K11" si="17">IFERROR((F11*E11/I11),0)+IFERROR((G11*E11/J11),0)</f>
        <v>0</v>
      </c>
      <c r="L11" s="548">
        <f t="shared" si="2"/>
        <v>0</v>
      </c>
      <c r="M11" s="189">
        <f t="shared" ref="M11" si="18">IF(ISERROR(L11/I11),0,L11/I11)</f>
        <v>0</v>
      </c>
      <c r="N11" s="189">
        <f t="shared" ref="N11" si="19">IF(ISERROR(L11/J11),0,L11/J11)</f>
        <v>0</v>
      </c>
      <c r="O11" s="189">
        <f t="shared" ref="O11" si="20">K11*L11</f>
        <v>0</v>
      </c>
    </row>
    <row r="12" spans="1:21" s="57" customFormat="1" ht="24" customHeight="1" x14ac:dyDescent="0.25">
      <c r="A12" s="303" t="str">
        <f>'Kalk UHR GS Deisenhofen'!A12</f>
        <v>Schule</v>
      </c>
      <c r="B12" s="303" t="str">
        <f>'Kalk UHR GS Deisenhofen'!B12</f>
        <v>OG</v>
      </c>
      <c r="C12" s="303" t="str">
        <f>'Kalk UHR GS Deisenhofen'!C12</f>
        <v>1.C.02</v>
      </c>
      <c r="D12" s="303" t="str">
        <f>'Kalk UHR GS Deisenhofen'!D12</f>
        <v>Klassenraum 7</v>
      </c>
      <c r="E12" s="229"/>
      <c r="F12" s="195">
        <v>0</v>
      </c>
      <c r="G12" s="195">
        <v>12</v>
      </c>
      <c r="H12" s="186">
        <f t="shared" ref="H12:H249" si="21">+E12*F12+E12*G12</f>
        <v>0</v>
      </c>
      <c r="I12" s="549"/>
      <c r="J12" s="187"/>
      <c r="K12" s="188">
        <f t="shared" ref="K12:K75" si="22">IFERROR((F12*E12/I12),0)+IFERROR((G12*E12/J12),0)</f>
        <v>0</v>
      </c>
      <c r="L12" s="548">
        <f t="shared" si="2"/>
        <v>0</v>
      </c>
      <c r="M12" s="189">
        <f t="shared" ref="M12:M249" si="23">IF(ISERROR(L12/I12),0,L12/I12)</f>
        <v>0</v>
      </c>
      <c r="N12" s="189">
        <f t="shared" ref="N12:N249" si="24">IF(ISERROR(L12/J12),0,L12/J12)</f>
        <v>0</v>
      </c>
      <c r="O12" s="189">
        <f t="shared" ref="O12:O249" si="25">K12*L12</f>
        <v>0</v>
      </c>
    </row>
    <row r="13" spans="1:21" s="57" customFormat="1" ht="24" customHeight="1" x14ac:dyDescent="0.25">
      <c r="A13" s="303" t="str">
        <f>'Kalk UHR GS Deisenhofen'!A13</f>
        <v>Schule</v>
      </c>
      <c r="B13" s="303" t="str">
        <f>'Kalk UHR GS Deisenhofen'!B13</f>
        <v>OG</v>
      </c>
      <c r="C13" s="303" t="str">
        <f>'Kalk UHR GS Deisenhofen'!C13</f>
        <v>1.C.03</v>
      </c>
      <c r="D13" s="303" t="str">
        <f>'Kalk UHR GS Deisenhofen'!D13</f>
        <v>Gruppenraum</v>
      </c>
      <c r="E13" s="229"/>
      <c r="F13" s="195">
        <v>0</v>
      </c>
      <c r="G13" s="195">
        <v>12</v>
      </c>
      <c r="H13" s="186">
        <f t="shared" si="21"/>
        <v>0</v>
      </c>
      <c r="I13" s="549"/>
      <c r="J13" s="187"/>
      <c r="K13" s="188">
        <f t="shared" si="22"/>
        <v>0</v>
      </c>
      <c r="L13" s="548">
        <f t="shared" si="2"/>
        <v>0</v>
      </c>
      <c r="M13" s="189">
        <f t="shared" si="23"/>
        <v>0</v>
      </c>
      <c r="N13" s="189">
        <f t="shared" si="24"/>
        <v>0</v>
      </c>
      <c r="O13" s="189">
        <f t="shared" si="25"/>
        <v>0</v>
      </c>
    </row>
    <row r="14" spans="1:21" s="57" customFormat="1" ht="24" customHeight="1" x14ac:dyDescent="0.25">
      <c r="A14" s="303" t="str">
        <f>'Kalk UHR GS Deisenhofen'!A14</f>
        <v>Schule</v>
      </c>
      <c r="B14" s="303" t="str">
        <f>'Kalk UHR GS Deisenhofen'!B14</f>
        <v>OG</v>
      </c>
      <c r="C14" s="303" t="str">
        <f>'Kalk UHR GS Deisenhofen'!C14</f>
        <v>1.C.04</v>
      </c>
      <c r="D14" s="303" t="str">
        <f>'Kalk UHR GS Deisenhofen'!D14</f>
        <v>Klassenraum 8</v>
      </c>
      <c r="E14" s="229"/>
      <c r="F14" s="195">
        <v>0</v>
      </c>
      <c r="G14" s="195">
        <v>12</v>
      </c>
      <c r="H14" s="186">
        <f t="shared" si="21"/>
        <v>0</v>
      </c>
      <c r="I14" s="549"/>
      <c r="J14" s="187"/>
      <c r="K14" s="188">
        <f t="shared" si="22"/>
        <v>0</v>
      </c>
      <c r="L14" s="548">
        <f t="shared" si="2"/>
        <v>0</v>
      </c>
      <c r="M14" s="189">
        <f t="shared" si="23"/>
        <v>0</v>
      </c>
      <c r="N14" s="189">
        <f t="shared" si="24"/>
        <v>0</v>
      </c>
      <c r="O14" s="189">
        <f t="shared" si="25"/>
        <v>0</v>
      </c>
    </row>
    <row r="15" spans="1:21" s="57" customFormat="1" ht="24" customHeight="1" x14ac:dyDescent="0.25">
      <c r="A15" s="303" t="str">
        <f>'Kalk UHR GS Deisenhofen'!A15</f>
        <v>Schule</v>
      </c>
      <c r="B15" s="303" t="str">
        <f>'Kalk UHR GS Deisenhofen'!B15</f>
        <v>OG</v>
      </c>
      <c r="C15" s="303" t="str">
        <f>'Kalk UHR GS Deisenhofen'!C15</f>
        <v>1.C.05</v>
      </c>
      <c r="D15" s="303" t="str">
        <f>'Kalk UHR GS Deisenhofen'!D15</f>
        <v>Garderobe</v>
      </c>
      <c r="E15" s="229"/>
      <c r="F15" s="195">
        <v>0</v>
      </c>
      <c r="G15" s="195">
        <v>12</v>
      </c>
      <c r="H15" s="186">
        <f t="shared" ref="H15:H84" si="26">+E15*F15+E15*G15</f>
        <v>0</v>
      </c>
      <c r="I15" s="549"/>
      <c r="J15" s="187"/>
      <c r="K15" s="188">
        <f t="shared" si="22"/>
        <v>0</v>
      </c>
      <c r="L15" s="548">
        <f t="shared" si="2"/>
        <v>0</v>
      </c>
      <c r="M15" s="189">
        <f t="shared" ref="M15:M84" si="27">IF(ISERROR(L15/I15),0,L15/I15)</f>
        <v>0</v>
      </c>
      <c r="N15" s="189">
        <f t="shared" ref="N15:N84" si="28">IF(ISERROR(L15/J15),0,L15/J15)</f>
        <v>0</v>
      </c>
      <c r="O15" s="189">
        <f t="shared" ref="O15:O84" si="29">K15*L15</f>
        <v>0</v>
      </c>
    </row>
    <row r="16" spans="1:21" s="57" customFormat="1" ht="24" customHeight="1" x14ac:dyDescent="0.25">
      <c r="A16" s="303" t="str">
        <f>'Kalk UHR GS Deisenhofen'!A16</f>
        <v>Schule</v>
      </c>
      <c r="B16" s="303" t="str">
        <f>'Kalk UHR GS Deisenhofen'!B16</f>
        <v>OG</v>
      </c>
      <c r="C16" s="303" t="str">
        <f>'Kalk UHR GS Deisenhofen'!C16</f>
        <v>1.C.F.02</v>
      </c>
      <c r="D16" s="303" t="str">
        <f>'Kalk UHR GS Deisenhofen'!D16</f>
        <v>Flur</v>
      </c>
      <c r="E16" s="229">
        <f>1.85*2.75+4.54*0.66+4.59*0.66</f>
        <v>11.113299999999999</v>
      </c>
      <c r="F16" s="195">
        <v>0</v>
      </c>
      <c r="G16" s="195">
        <v>12</v>
      </c>
      <c r="H16" s="186">
        <f t="shared" si="26"/>
        <v>133.3596</v>
      </c>
      <c r="I16" s="549"/>
      <c r="J16" s="187"/>
      <c r="K16" s="188">
        <f t="shared" si="22"/>
        <v>0</v>
      </c>
      <c r="L16" s="548">
        <f t="shared" si="2"/>
        <v>0</v>
      </c>
      <c r="M16" s="189">
        <f t="shared" si="27"/>
        <v>0</v>
      </c>
      <c r="N16" s="189">
        <f t="shared" si="28"/>
        <v>0</v>
      </c>
      <c r="O16" s="189">
        <f t="shared" si="29"/>
        <v>0</v>
      </c>
    </row>
    <row r="17" spans="1:15" s="57" customFormat="1" ht="24" customHeight="1" x14ac:dyDescent="0.25">
      <c r="A17" s="303" t="str">
        <f>'Kalk UHR GS Deisenhofen'!A17</f>
        <v>Schule</v>
      </c>
      <c r="B17" s="303" t="str">
        <f>'Kalk UHR GS Deisenhofen'!B17</f>
        <v>OG</v>
      </c>
      <c r="C17" s="303" t="str">
        <f>'Kalk UHR GS Deisenhofen'!C17</f>
        <v>1.C.06</v>
      </c>
      <c r="D17" s="303" t="str">
        <f>'Kalk UHR GS Deisenhofen'!D17</f>
        <v>Garderobe</v>
      </c>
      <c r="E17" s="229"/>
      <c r="F17" s="195">
        <v>0</v>
      </c>
      <c r="G17" s="195">
        <v>12</v>
      </c>
      <c r="H17" s="186">
        <f t="shared" si="26"/>
        <v>0</v>
      </c>
      <c r="I17" s="549"/>
      <c r="J17" s="187"/>
      <c r="K17" s="188">
        <f t="shared" si="22"/>
        <v>0</v>
      </c>
      <c r="L17" s="548">
        <f t="shared" si="2"/>
        <v>0</v>
      </c>
      <c r="M17" s="189">
        <f t="shared" si="27"/>
        <v>0</v>
      </c>
      <c r="N17" s="189">
        <f t="shared" si="28"/>
        <v>0</v>
      </c>
      <c r="O17" s="189">
        <f t="shared" si="29"/>
        <v>0</v>
      </c>
    </row>
    <row r="18" spans="1:15" s="57" customFormat="1" ht="24" customHeight="1" x14ac:dyDescent="0.25">
      <c r="A18" s="303" t="str">
        <f>'Kalk UHR GS Deisenhofen'!A18</f>
        <v>Schule</v>
      </c>
      <c r="B18" s="303" t="str">
        <f>'Kalk UHR GS Deisenhofen'!B18</f>
        <v>OG</v>
      </c>
      <c r="C18" s="303" t="str">
        <f>'Kalk UHR GS Deisenhofen'!C18</f>
        <v>1.C.07</v>
      </c>
      <c r="D18" s="303" t="str">
        <f>'Kalk UHR GS Deisenhofen'!D18</f>
        <v>Klassenraum 9</v>
      </c>
      <c r="E18" s="229"/>
      <c r="F18" s="195">
        <v>0</v>
      </c>
      <c r="G18" s="195">
        <v>12</v>
      </c>
      <c r="H18" s="186">
        <f t="shared" si="26"/>
        <v>0</v>
      </c>
      <c r="I18" s="549"/>
      <c r="J18" s="187"/>
      <c r="K18" s="188">
        <f t="shared" si="22"/>
        <v>0</v>
      </c>
      <c r="L18" s="548">
        <f t="shared" si="2"/>
        <v>0</v>
      </c>
      <c r="M18" s="189">
        <f t="shared" si="27"/>
        <v>0</v>
      </c>
      <c r="N18" s="189">
        <f t="shared" si="28"/>
        <v>0</v>
      </c>
      <c r="O18" s="189">
        <f t="shared" si="29"/>
        <v>0</v>
      </c>
    </row>
    <row r="19" spans="1:15" s="57" customFormat="1" ht="24" customHeight="1" x14ac:dyDescent="0.25">
      <c r="A19" s="303" t="str">
        <f>'Kalk UHR GS Deisenhofen'!A19</f>
        <v>Schule</v>
      </c>
      <c r="B19" s="303" t="str">
        <f>'Kalk UHR GS Deisenhofen'!B19</f>
        <v>OG</v>
      </c>
      <c r="C19" s="303" t="str">
        <f>'Kalk UHR GS Deisenhofen'!C19</f>
        <v>1.C.08</v>
      </c>
      <c r="D19" s="303" t="str">
        <f>'Kalk UHR GS Deisenhofen'!D19</f>
        <v>Gruppenraum</v>
      </c>
      <c r="E19" s="229"/>
      <c r="F19" s="195">
        <v>0</v>
      </c>
      <c r="G19" s="195">
        <v>12</v>
      </c>
      <c r="H19" s="186">
        <f t="shared" si="26"/>
        <v>0</v>
      </c>
      <c r="I19" s="549"/>
      <c r="J19" s="187"/>
      <c r="K19" s="188">
        <f t="shared" si="22"/>
        <v>0</v>
      </c>
      <c r="L19" s="548">
        <f t="shared" si="2"/>
        <v>0</v>
      </c>
      <c r="M19" s="189">
        <f t="shared" si="27"/>
        <v>0</v>
      </c>
      <c r="N19" s="189">
        <f t="shared" si="28"/>
        <v>0</v>
      </c>
      <c r="O19" s="189">
        <f t="shared" si="29"/>
        <v>0</v>
      </c>
    </row>
    <row r="20" spans="1:15" s="57" customFormat="1" ht="32.4" customHeight="1" x14ac:dyDescent="0.25">
      <c r="A20" s="303" t="str">
        <f>'Kalk UHR GS Deisenhofen'!A20</f>
        <v>Schule</v>
      </c>
      <c r="B20" s="303" t="str">
        <f>'Kalk UHR GS Deisenhofen'!B20</f>
        <v>OG</v>
      </c>
      <c r="C20" s="303" t="str">
        <f>'Kalk UHR GS Deisenhofen'!C20</f>
        <v>1.C.09</v>
      </c>
      <c r="D20" s="303" t="str">
        <f>'Kalk UHR GS Deisenhofen'!D20</f>
        <v>Klassenraum 10</v>
      </c>
      <c r="E20" s="229"/>
      <c r="F20" s="195">
        <v>0</v>
      </c>
      <c r="G20" s="195">
        <v>12</v>
      </c>
      <c r="H20" s="186">
        <f t="shared" si="26"/>
        <v>0</v>
      </c>
      <c r="I20" s="549"/>
      <c r="J20" s="187"/>
      <c r="K20" s="188">
        <f t="shared" si="22"/>
        <v>0</v>
      </c>
      <c r="L20" s="548">
        <f t="shared" si="2"/>
        <v>0</v>
      </c>
      <c r="M20" s="189">
        <f t="shared" si="27"/>
        <v>0</v>
      </c>
      <c r="N20" s="189">
        <f t="shared" si="28"/>
        <v>0</v>
      </c>
      <c r="O20" s="189">
        <f t="shared" si="29"/>
        <v>0</v>
      </c>
    </row>
    <row r="21" spans="1:15" s="57" customFormat="1" ht="26.4" customHeight="1" x14ac:dyDescent="0.25">
      <c r="A21" s="303" t="str">
        <f>'Kalk UHR GS Deisenhofen'!A21</f>
        <v>Schule</v>
      </c>
      <c r="B21" s="303" t="str">
        <f>'Kalk UHR GS Deisenhofen'!B21</f>
        <v>OG</v>
      </c>
      <c r="C21" s="303" t="str">
        <f>'Kalk UHR GS Deisenhofen'!C21</f>
        <v>1.C.10</v>
      </c>
      <c r="D21" s="303" t="str">
        <f>'Kalk UHR GS Deisenhofen'!D21</f>
        <v>Garderobe</v>
      </c>
      <c r="E21" s="229"/>
      <c r="F21" s="195">
        <v>0</v>
      </c>
      <c r="G21" s="195">
        <v>12</v>
      </c>
      <c r="H21" s="186">
        <f t="shared" si="26"/>
        <v>0</v>
      </c>
      <c r="I21" s="549"/>
      <c r="J21" s="187"/>
      <c r="K21" s="188">
        <f t="shared" si="22"/>
        <v>0</v>
      </c>
      <c r="L21" s="548">
        <f t="shared" si="2"/>
        <v>0</v>
      </c>
      <c r="M21" s="189">
        <f t="shared" si="27"/>
        <v>0</v>
      </c>
      <c r="N21" s="189">
        <f t="shared" si="28"/>
        <v>0</v>
      </c>
      <c r="O21" s="189">
        <f t="shared" si="29"/>
        <v>0</v>
      </c>
    </row>
    <row r="22" spans="1:15" s="57" customFormat="1" ht="27" customHeight="1" x14ac:dyDescent="0.25">
      <c r="A22" s="303" t="str">
        <f>'Kalk UHR GS Deisenhofen'!A22</f>
        <v>Schule</v>
      </c>
      <c r="B22" s="303" t="str">
        <f>'Kalk UHR GS Deisenhofen'!B22</f>
        <v>OG</v>
      </c>
      <c r="C22" s="303" t="str">
        <f>'Kalk UHR GS Deisenhofen'!C22</f>
        <v>1.C.11</v>
      </c>
      <c r="D22" s="303" t="str">
        <f>'Kalk UHR GS Deisenhofen'!D22</f>
        <v>IT</v>
      </c>
      <c r="E22" s="229"/>
      <c r="F22" s="195">
        <v>0</v>
      </c>
      <c r="G22" s="195">
        <v>12</v>
      </c>
      <c r="H22" s="186">
        <f t="shared" si="26"/>
        <v>0</v>
      </c>
      <c r="I22" s="549"/>
      <c r="J22" s="187"/>
      <c r="K22" s="188">
        <f t="shared" si="22"/>
        <v>0</v>
      </c>
      <c r="L22" s="548">
        <f t="shared" si="2"/>
        <v>0</v>
      </c>
      <c r="M22" s="189">
        <f t="shared" si="27"/>
        <v>0</v>
      </c>
      <c r="N22" s="189">
        <f t="shared" si="28"/>
        <v>0</v>
      </c>
      <c r="O22" s="189">
        <f t="shared" si="29"/>
        <v>0</v>
      </c>
    </row>
    <row r="23" spans="1:15" s="57" customFormat="1" ht="24" customHeight="1" x14ac:dyDescent="0.25">
      <c r="A23" s="303" t="str">
        <f>'Kalk UHR GS Deisenhofen'!A23</f>
        <v>Schule</v>
      </c>
      <c r="B23" s="303" t="str">
        <f>'Kalk UHR GS Deisenhofen'!B23</f>
        <v>OG</v>
      </c>
      <c r="C23" s="303" t="str">
        <f>'Kalk UHR GS Deisenhofen'!C23</f>
        <v>1.C.12</v>
      </c>
      <c r="D23" s="303" t="str">
        <f>'Kalk UHR GS Deisenhofen'!D23</f>
        <v>Lehrmittel</v>
      </c>
      <c r="E23" s="229"/>
      <c r="F23" s="195">
        <v>0</v>
      </c>
      <c r="G23" s="195">
        <v>12</v>
      </c>
      <c r="H23" s="186">
        <f t="shared" si="26"/>
        <v>0</v>
      </c>
      <c r="I23" s="549"/>
      <c r="J23" s="187"/>
      <c r="K23" s="188">
        <f t="shared" si="22"/>
        <v>0</v>
      </c>
      <c r="L23" s="548">
        <f t="shared" si="2"/>
        <v>0</v>
      </c>
      <c r="M23" s="189">
        <f t="shared" si="27"/>
        <v>0</v>
      </c>
      <c r="N23" s="189">
        <f t="shared" si="28"/>
        <v>0</v>
      </c>
      <c r="O23" s="189">
        <f t="shared" si="29"/>
        <v>0</v>
      </c>
    </row>
    <row r="24" spans="1:15" s="57" customFormat="1" ht="24.6" customHeight="1" x14ac:dyDescent="0.25">
      <c r="A24" s="303" t="str">
        <f>'Kalk UHR GS Deisenhofen'!A24</f>
        <v>Schule</v>
      </c>
      <c r="B24" s="303" t="str">
        <f>'Kalk UHR GS Deisenhofen'!B24</f>
        <v>OG</v>
      </c>
      <c r="C24" s="303" t="str">
        <f>'Kalk UHR GS Deisenhofen'!C24</f>
        <v>1.C.13</v>
      </c>
      <c r="D24" s="303" t="str">
        <f>'Kalk UHR GS Deisenhofen'!D24</f>
        <v>WC-Lehrer</v>
      </c>
      <c r="E24" s="229"/>
      <c r="F24" s="195">
        <v>0</v>
      </c>
      <c r="G24" s="195">
        <v>12</v>
      </c>
      <c r="H24" s="186">
        <f t="shared" si="26"/>
        <v>0</v>
      </c>
      <c r="I24" s="549"/>
      <c r="J24" s="187"/>
      <c r="K24" s="188">
        <f t="shared" si="22"/>
        <v>0</v>
      </c>
      <c r="L24" s="548">
        <f t="shared" si="2"/>
        <v>0</v>
      </c>
      <c r="M24" s="189">
        <f t="shared" si="27"/>
        <v>0</v>
      </c>
      <c r="N24" s="189">
        <f t="shared" si="28"/>
        <v>0</v>
      </c>
      <c r="O24" s="189">
        <f t="shared" si="29"/>
        <v>0</v>
      </c>
    </row>
    <row r="25" spans="1:15" s="57" customFormat="1" ht="24" customHeight="1" x14ac:dyDescent="0.25">
      <c r="A25" s="303" t="str">
        <f>'Kalk UHR GS Deisenhofen'!A25</f>
        <v>Schule</v>
      </c>
      <c r="B25" s="303" t="str">
        <f>'Kalk UHR GS Deisenhofen'!B25</f>
        <v>OG</v>
      </c>
      <c r="C25" s="303" t="str">
        <f>'Kalk UHR GS Deisenhofen'!C25</f>
        <v>1.C.14</v>
      </c>
      <c r="D25" s="303" t="str">
        <f>'Kalk UHR GS Deisenhofen'!D25</f>
        <v>WC-Mädchen</v>
      </c>
      <c r="E25" s="229"/>
      <c r="F25" s="195">
        <v>0</v>
      </c>
      <c r="G25" s="195">
        <v>12</v>
      </c>
      <c r="H25" s="186">
        <f t="shared" si="26"/>
        <v>0</v>
      </c>
      <c r="I25" s="549"/>
      <c r="J25" s="187"/>
      <c r="K25" s="188">
        <f t="shared" si="22"/>
        <v>0</v>
      </c>
      <c r="L25" s="548">
        <f t="shared" si="2"/>
        <v>0</v>
      </c>
      <c r="M25" s="189">
        <f t="shared" si="27"/>
        <v>0</v>
      </c>
      <c r="N25" s="189">
        <f t="shared" si="28"/>
        <v>0</v>
      </c>
      <c r="O25" s="189">
        <f t="shared" si="29"/>
        <v>0</v>
      </c>
    </row>
    <row r="26" spans="1:15" s="57" customFormat="1" ht="24" customHeight="1" x14ac:dyDescent="0.25">
      <c r="A26" s="303" t="str">
        <f>'Kalk UHR GS Deisenhofen'!A26</f>
        <v>Schule</v>
      </c>
      <c r="B26" s="303" t="str">
        <f>'Kalk UHR GS Deisenhofen'!B26</f>
        <v>OG</v>
      </c>
      <c r="C26" s="303" t="str">
        <f>'Kalk UHR GS Deisenhofen'!C26</f>
        <v>1.C.15</v>
      </c>
      <c r="D26" s="303" t="str">
        <f>'Kalk UHR GS Deisenhofen'!D26</f>
        <v>WC-Jungen</v>
      </c>
      <c r="E26" s="229"/>
      <c r="F26" s="195">
        <v>0</v>
      </c>
      <c r="G26" s="195">
        <v>12</v>
      </c>
      <c r="H26" s="186">
        <f t="shared" si="26"/>
        <v>0</v>
      </c>
      <c r="I26" s="549"/>
      <c r="J26" s="187"/>
      <c r="K26" s="188">
        <f t="shared" si="22"/>
        <v>0</v>
      </c>
      <c r="L26" s="548">
        <f t="shared" si="2"/>
        <v>0</v>
      </c>
      <c r="M26" s="189">
        <f t="shared" si="27"/>
        <v>0</v>
      </c>
      <c r="N26" s="189">
        <f t="shared" si="28"/>
        <v>0</v>
      </c>
      <c r="O26" s="189">
        <f t="shared" si="29"/>
        <v>0</v>
      </c>
    </row>
    <row r="27" spans="1:15" s="57" customFormat="1" ht="24" customHeight="1" x14ac:dyDescent="0.25">
      <c r="A27" s="303" t="str">
        <f>'Kalk UHR GS Deisenhofen'!A27</f>
        <v>Schule</v>
      </c>
      <c r="B27" s="303" t="str">
        <f>'Kalk UHR GS Deisenhofen'!B27</f>
        <v>OG</v>
      </c>
      <c r="C27" s="303" t="str">
        <f>'Kalk UHR GS Deisenhofen'!C27</f>
        <v>1.C.16</v>
      </c>
      <c r="D27" s="303" t="str">
        <f>'Kalk UHR GS Deisenhofen'!D27</f>
        <v>WC-Behinderte</v>
      </c>
      <c r="E27" s="229"/>
      <c r="F27" s="195">
        <v>0</v>
      </c>
      <c r="G27" s="195">
        <v>12</v>
      </c>
      <c r="H27" s="186">
        <f t="shared" si="26"/>
        <v>0</v>
      </c>
      <c r="I27" s="549"/>
      <c r="J27" s="187"/>
      <c r="K27" s="188">
        <f t="shared" si="22"/>
        <v>0</v>
      </c>
      <c r="L27" s="548">
        <f t="shared" si="2"/>
        <v>0</v>
      </c>
      <c r="M27" s="189">
        <f t="shared" si="27"/>
        <v>0</v>
      </c>
      <c r="N27" s="189">
        <f t="shared" si="28"/>
        <v>0</v>
      </c>
      <c r="O27" s="189">
        <f t="shared" si="29"/>
        <v>0</v>
      </c>
    </row>
    <row r="28" spans="1:15" s="57" customFormat="1" ht="24" customHeight="1" x14ac:dyDescent="0.25">
      <c r="A28" s="303" t="str">
        <f>'Kalk UHR GS Deisenhofen'!A28</f>
        <v>Schule</v>
      </c>
      <c r="B28" s="303" t="str">
        <f>'Kalk UHR GS Deisenhofen'!B28</f>
        <v>OG</v>
      </c>
      <c r="C28" s="303" t="str">
        <f>'Kalk UHR GS Deisenhofen'!C28</f>
        <v>1.C.F.03</v>
      </c>
      <c r="D28" s="303" t="str">
        <f>'Kalk UHR GS Deisenhofen'!D28</f>
        <v>Galerie</v>
      </c>
      <c r="E28" s="229"/>
      <c r="F28" s="195">
        <v>0</v>
      </c>
      <c r="G28" s="195">
        <v>12</v>
      </c>
      <c r="H28" s="186">
        <f t="shared" si="26"/>
        <v>0</v>
      </c>
      <c r="I28" s="549"/>
      <c r="J28" s="187"/>
      <c r="K28" s="188">
        <f t="shared" si="22"/>
        <v>0</v>
      </c>
      <c r="L28" s="548">
        <f t="shared" si="2"/>
        <v>0</v>
      </c>
      <c r="M28" s="189">
        <f t="shared" si="27"/>
        <v>0</v>
      </c>
      <c r="N28" s="189">
        <f t="shared" si="28"/>
        <v>0</v>
      </c>
      <c r="O28" s="189">
        <f t="shared" si="29"/>
        <v>0</v>
      </c>
    </row>
    <row r="29" spans="1:15" s="57" customFormat="1" ht="24" customHeight="1" x14ac:dyDescent="0.25">
      <c r="A29" s="303" t="str">
        <f>'Kalk UHR GS Deisenhofen'!A29</f>
        <v>Schule</v>
      </c>
      <c r="B29" s="303" t="str">
        <f>'Kalk UHR GS Deisenhofen'!B29</f>
        <v>OG</v>
      </c>
      <c r="C29" s="303" t="str">
        <f>'Kalk UHR GS Deisenhofen'!C29</f>
        <v>1.C.T.04</v>
      </c>
      <c r="D29" s="303" t="str">
        <f>'Kalk UHR GS Deisenhofen'!D29</f>
        <v>Treppe</v>
      </c>
      <c r="E29" s="229"/>
      <c r="F29" s="195">
        <v>0</v>
      </c>
      <c r="G29" s="195">
        <v>12</v>
      </c>
      <c r="H29" s="186">
        <f t="shared" si="26"/>
        <v>0</v>
      </c>
      <c r="I29" s="549"/>
      <c r="J29" s="187"/>
      <c r="K29" s="188">
        <f t="shared" si="22"/>
        <v>0</v>
      </c>
      <c r="L29" s="548">
        <f t="shared" si="2"/>
        <v>0</v>
      </c>
      <c r="M29" s="189">
        <f t="shared" si="27"/>
        <v>0</v>
      </c>
      <c r="N29" s="189">
        <f t="shared" si="28"/>
        <v>0</v>
      </c>
      <c r="O29" s="189">
        <f t="shared" si="29"/>
        <v>0</v>
      </c>
    </row>
    <row r="30" spans="1:15" s="57" customFormat="1" ht="24" customHeight="1" x14ac:dyDescent="0.25">
      <c r="A30" s="303" t="str">
        <f>'Kalk UHR GS Deisenhofen'!A30</f>
        <v>Schule</v>
      </c>
      <c r="B30" s="303" t="str">
        <f>'Kalk UHR GS Deisenhofen'!B30</f>
        <v>OG</v>
      </c>
      <c r="C30" s="303" t="str">
        <f>'Kalk UHR GS Deisenhofen'!C30</f>
        <v>1.C.17</v>
      </c>
      <c r="D30" s="303" t="str">
        <f>'Kalk UHR GS Deisenhofen'!D30</f>
        <v>Klassen-/Fachraum</v>
      </c>
      <c r="E30" s="229"/>
      <c r="F30" s="195">
        <v>0</v>
      </c>
      <c r="G30" s="195">
        <v>12</v>
      </c>
      <c r="H30" s="186">
        <f t="shared" si="26"/>
        <v>0</v>
      </c>
      <c r="I30" s="549"/>
      <c r="J30" s="187"/>
      <c r="K30" s="188">
        <f t="shared" si="22"/>
        <v>0</v>
      </c>
      <c r="L30" s="548">
        <f t="shared" si="2"/>
        <v>0</v>
      </c>
      <c r="M30" s="189">
        <f t="shared" si="27"/>
        <v>0</v>
      </c>
      <c r="N30" s="189">
        <f t="shared" si="28"/>
        <v>0</v>
      </c>
      <c r="O30" s="189">
        <f t="shared" si="29"/>
        <v>0</v>
      </c>
    </row>
    <row r="31" spans="1:15" s="57" customFormat="1" ht="24" customHeight="1" x14ac:dyDescent="0.25">
      <c r="A31" s="303" t="str">
        <f>'Kalk UHR GS Deisenhofen'!A31</f>
        <v>Schule</v>
      </c>
      <c r="B31" s="303" t="str">
        <f>'Kalk UHR GS Deisenhofen'!B31</f>
        <v>OG</v>
      </c>
      <c r="C31" s="303" t="str">
        <f>'Kalk UHR GS Deisenhofen'!C31</f>
        <v>1.C.18</v>
      </c>
      <c r="D31" s="303" t="str">
        <f>'Kalk UHR GS Deisenhofen'!D31</f>
        <v>Garderobe</v>
      </c>
      <c r="E31" s="229"/>
      <c r="F31" s="195">
        <v>0</v>
      </c>
      <c r="G31" s="195">
        <v>12</v>
      </c>
      <c r="H31" s="186">
        <f t="shared" si="26"/>
        <v>0</v>
      </c>
      <c r="I31" s="549"/>
      <c r="J31" s="187"/>
      <c r="K31" s="188">
        <f t="shared" si="22"/>
        <v>0</v>
      </c>
      <c r="L31" s="548">
        <f t="shared" si="2"/>
        <v>0</v>
      </c>
      <c r="M31" s="189">
        <f t="shared" si="27"/>
        <v>0</v>
      </c>
      <c r="N31" s="189">
        <f t="shared" si="28"/>
        <v>0</v>
      </c>
      <c r="O31" s="189">
        <f t="shared" si="29"/>
        <v>0</v>
      </c>
    </row>
    <row r="32" spans="1:15" s="57" customFormat="1" ht="24" customHeight="1" x14ac:dyDescent="0.25">
      <c r="A32" s="303" t="str">
        <f>'Kalk UHR GS Deisenhofen'!A32</f>
        <v>Schule</v>
      </c>
      <c r="B32" s="303" t="str">
        <f>'Kalk UHR GS Deisenhofen'!B32</f>
        <v>OG</v>
      </c>
      <c r="C32" s="303" t="str">
        <f>'Kalk UHR GS Deisenhofen'!C32</f>
        <v>1.C.19</v>
      </c>
      <c r="D32" s="303" t="str">
        <f>'Kalk UHR GS Deisenhofen'!D32</f>
        <v>Klassenraum 11</v>
      </c>
      <c r="E32" s="229"/>
      <c r="F32" s="195">
        <v>0</v>
      </c>
      <c r="G32" s="195">
        <v>12</v>
      </c>
      <c r="H32" s="186">
        <f t="shared" si="26"/>
        <v>0</v>
      </c>
      <c r="I32" s="549"/>
      <c r="J32" s="187"/>
      <c r="K32" s="188">
        <f t="shared" si="22"/>
        <v>0</v>
      </c>
      <c r="L32" s="548">
        <f t="shared" si="2"/>
        <v>0</v>
      </c>
      <c r="M32" s="189">
        <f t="shared" si="27"/>
        <v>0</v>
      </c>
      <c r="N32" s="189">
        <f t="shared" si="28"/>
        <v>0</v>
      </c>
      <c r="O32" s="189">
        <f t="shared" si="29"/>
        <v>0</v>
      </c>
    </row>
    <row r="33" spans="1:15" s="57" customFormat="1" ht="29.4" customHeight="1" x14ac:dyDescent="0.25">
      <c r="A33" s="303" t="str">
        <f>'Kalk UHR GS Deisenhofen'!A33</f>
        <v>Schule</v>
      </c>
      <c r="B33" s="303" t="str">
        <f>'Kalk UHR GS Deisenhofen'!B33</f>
        <v>OG</v>
      </c>
      <c r="C33" s="303" t="str">
        <f>'Kalk UHR GS Deisenhofen'!C33</f>
        <v>1.C.20</v>
      </c>
      <c r="D33" s="303" t="str">
        <f>'Kalk UHR GS Deisenhofen'!D33</f>
        <v>Gruppenraum</v>
      </c>
      <c r="E33" s="229"/>
      <c r="F33" s="195">
        <v>0</v>
      </c>
      <c r="G33" s="195">
        <v>12</v>
      </c>
      <c r="H33" s="186">
        <f t="shared" si="26"/>
        <v>0</v>
      </c>
      <c r="I33" s="549"/>
      <c r="J33" s="187"/>
      <c r="K33" s="188">
        <f t="shared" si="22"/>
        <v>0</v>
      </c>
      <c r="L33" s="548">
        <f t="shared" si="2"/>
        <v>0</v>
      </c>
      <c r="M33" s="189">
        <f t="shared" si="27"/>
        <v>0</v>
      </c>
      <c r="N33" s="189">
        <f t="shared" si="28"/>
        <v>0</v>
      </c>
      <c r="O33" s="189">
        <f t="shared" si="29"/>
        <v>0</v>
      </c>
    </row>
    <row r="34" spans="1:15" s="57" customFormat="1" ht="29.4" customHeight="1" x14ac:dyDescent="0.25">
      <c r="A34" s="303" t="str">
        <f>'Kalk UHR GS Deisenhofen'!A34</f>
        <v>Schule</v>
      </c>
      <c r="B34" s="303" t="str">
        <f>'Kalk UHR GS Deisenhofen'!B34</f>
        <v>OG</v>
      </c>
      <c r="C34" s="303" t="str">
        <f>'Kalk UHR GS Deisenhofen'!C34</f>
        <v>1.C.21</v>
      </c>
      <c r="D34" s="303" t="str">
        <f>'Kalk UHR GS Deisenhofen'!D34</f>
        <v>Klassenraum 12</v>
      </c>
      <c r="E34" s="229"/>
      <c r="F34" s="195">
        <v>0</v>
      </c>
      <c r="G34" s="195">
        <v>12</v>
      </c>
      <c r="H34" s="186">
        <f t="shared" si="26"/>
        <v>0</v>
      </c>
      <c r="I34" s="549"/>
      <c r="J34" s="187"/>
      <c r="K34" s="188">
        <f t="shared" si="22"/>
        <v>0</v>
      </c>
      <c r="L34" s="548">
        <f t="shared" si="2"/>
        <v>0</v>
      </c>
      <c r="M34" s="189">
        <f t="shared" si="27"/>
        <v>0</v>
      </c>
      <c r="N34" s="189">
        <f t="shared" si="28"/>
        <v>0</v>
      </c>
      <c r="O34" s="189">
        <f t="shared" si="29"/>
        <v>0</v>
      </c>
    </row>
    <row r="35" spans="1:15" s="57" customFormat="1" ht="29.4" customHeight="1" x14ac:dyDescent="0.25">
      <c r="A35" s="303" t="str">
        <f>'Kalk UHR GS Deisenhofen'!A35</f>
        <v>Schule</v>
      </c>
      <c r="B35" s="303" t="str">
        <f>'Kalk UHR GS Deisenhofen'!B35</f>
        <v>OG</v>
      </c>
      <c r="C35" s="303" t="str">
        <f>'Kalk UHR GS Deisenhofen'!C35</f>
        <v>1.C.22</v>
      </c>
      <c r="D35" s="303" t="str">
        <f>'Kalk UHR GS Deisenhofen'!D35</f>
        <v>Garderobe</v>
      </c>
      <c r="E35" s="229"/>
      <c r="F35" s="195">
        <v>0</v>
      </c>
      <c r="G35" s="195">
        <v>12</v>
      </c>
      <c r="H35" s="186">
        <f t="shared" si="26"/>
        <v>0</v>
      </c>
      <c r="I35" s="549"/>
      <c r="J35" s="187"/>
      <c r="K35" s="188">
        <f t="shared" si="22"/>
        <v>0</v>
      </c>
      <c r="L35" s="548">
        <f t="shared" si="2"/>
        <v>0</v>
      </c>
      <c r="M35" s="189">
        <f t="shared" si="27"/>
        <v>0</v>
      </c>
      <c r="N35" s="189">
        <f t="shared" si="28"/>
        <v>0</v>
      </c>
      <c r="O35" s="189">
        <f t="shared" si="29"/>
        <v>0</v>
      </c>
    </row>
    <row r="36" spans="1:15" s="57" customFormat="1" ht="29.4" customHeight="1" x14ac:dyDescent="0.25">
      <c r="A36" s="303" t="str">
        <f>'Kalk UHR GS Deisenhofen'!A36</f>
        <v>Schule</v>
      </c>
      <c r="B36" s="303" t="str">
        <f>'Kalk UHR GS Deisenhofen'!B36</f>
        <v>OG</v>
      </c>
      <c r="C36" s="303" t="str">
        <f>'Kalk UHR GS Deisenhofen'!C36</f>
        <v>1.C.F.04</v>
      </c>
      <c r="D36" s="303" t="str">
        <f>'Kalk UHR GS Deisenhofen'!D36</f>
        <v>Flur</v>
      </c>
      <c r="E36" s="229">
        <f>4.53*0.66+3.53*0.66+1.25*2.75</f>
        <v>8.7571000000000012</v>
      </c>
      <c r="F36" s="195">
        <v>0</v>
      </c>
      <c r="G36" s="195">
        <v>12</v>
      </c>
      <c r="H36" s="186">
        <f t="shared" si="26"/>
        <v>105.08520000000001</v>
      </c>
      <c r="I36" s="549"/>
      <c r="J36" s="187"/>
      <c r="K36" s="188">
        <f t="shared" si="22"/>
        <v>0</v>
      </c>
      <c r="L36" s="548">
        <f t="shared" si="2"/>
        <v>0</v>
      </c>
      <c r="M36" s="189">
        <f t="shared" si="27"/>
        <v>0</v>
      </c>
      <c r="N36" s="189">
        <f t="shared" si="28"/>
        <v>0</v>
      </c>
      <c r="O36" s="189">
        <f t="shared" si="29"/>
        <v>0</v>
      </c>
    </row>
    <row r="37" spans="1:15" s="57" customFormat="1" ht="29.4" customHeight="1" x14ac:dyDescent="0.25">
      <c r="A37" s="303" t="str">
        <f>'Kalk UHR GS Deisenhofen'!A37</f>
        <v>Schule</v>
      </c>
      <c r="B37" s="303" t="str">
        <f>'Kalk UHR GS Deisenhofen'!B37</f>
        <v>OG</v>
      </c>
      <c r="C37" s="303" t="str">
        <f>'Kalk UHR GS Deisenhofen'!C37</f>
        <v>1.C.T.03</v>
      </c>
      <c r="D37" s="303" t="str">
        <f>'Kalk UHR GS Deisenhofen'!D37</f>
        <v>Treppe</v>
      </c>
      <c r="E37" s="229">
        <f>2.74*0.85</f>
        <v>2.3290000000000002</v>
      </c>
      <c r="F37" s="195">
        <v>0</v>
      </c>
      <c r="G37" s="195">
        <v>12</v>
      </c>
      <c r="H37" s="186">
        <f t="shared" si="26"/>
        <v>27.948</v>
      </c>
      <c r="I37" s="549"/>
      <c r="J37" s="187"/>
      <c r="K37" s="188">
        <f t="shared" si="22"/>
        <v>0</v>
      </c>
      <c r="L37" s="548">
        <f t="shared" si="2"/>
        <v>0</v>
      </c>
      <c r="M37" s="189">
        <f t="shared" si="27"/>
        <v>0</v>
      </c>
      <c r="N37" s="189">
        <f t="shared" si="28"/>
        <v>0</v>
      </c>
      <c r="O37" s="189">
        <f t="shared" si="29"/>
        <v>0</v>
      </c>
    </row>
    <row r="38" spans="1:15" s="57" customFormat="1" ht="29.4" customHeight="1" x14ac:dyDescent="0.25">
      <c r="A38" s="303" t="str">
        <f>'Kalk UHR GS Deisenhofen'!A38</f>
        <v>Schule</v>
      </c>
      <c r="B38" s="303" t="str">
        <f>'Kalk UHR GS Deisenhofen'!B38</f>
        <v>OG</v>
      </c>
      <c r="C38" s="303" t="str">
        <f>'Kalk UHR GS Deisenhofen'!C38</f>
        <v>1.C.23</v>
      </c>
      <c r="D38" s="303" t="str">
        <f>'Kalk UHR GS Deisenhofen'!D38</f>
        <v>Abstellraum</v>
      </c>
      <c r="E38" s="229"/>
      <c r="F38" s="195">
        <v>0</v>
      </c>
      <c r="G38" s="195">
        <v>12</v>
      </c>
      <c r="H38" s="186">
        <f t="shared" si="26"/>
        <v>0</v>
      </c>
      <c r="I38" s="549"/>
      <c r="J38" s="187"/>
      <c r="K38" s="188">
        <f t="shared" si="22"/>
        <v>0</v>
      </c>
      <c r="L38" s="548">
        <f t="shared" si="2"/>
        <v>0</v>
      </c>
      <c r="M38" s="189">
        <f t="shared" si="27"/>
        <v>0</v>
      </c>
      <c r="N38" s="189">
        <f t="shared" si="28"/>
        <v>0</v>
      </c>
      <c r="O38" s="189">
        <f t="shared" si="29"/>
        <v>0</v>
      </c>
    </row>
    <row r="39" spans="1:15" s="57" customFormat="1" ht="29.4" customHeight="1" x14ac:dyDescent="0.25">
      <c r="A39" s="303" t="str">
        <f>'Kalk UHR GS Deisenhofen'!A39</f>
        <v>Schule</v>
      </c>
      <c r="B39" s="303" t="str">
        <f>'Kalk UHR GS Deisenhofen'!B39</f>
        <v>OG</v>
      </c>
      <c r="C39" s="303" t="str">
        <f>'Kalk UHR GS Deisenhofen'!C39</f>
        <v>1.C.24</v>
      </c>
      <c r="D39" s="303" t="str">
        <f>'Kalk UHR GS Deisenhofen'!D39</f>
        <v>Informatik</v>
      </c>
      <c r="E39" s="229"/>
      <c r="F39" s="195">
        <v>0</v>
      </c>
      <c r="G39" s="195">
        <v>12</v>
      </c>
      <c r="H39" s="186">
        <f t="shared" si="26"/>
        <v>0</v>
      </c>
      <c r="I39" s="549"/>
      <c r="J39" s="187"/>
      <c r="K39" s="188">
        <f t="shared" si="22"/>
        <v>0</v>
      </c>
      <c r="L39" s="548">
        <f t="shared" si="2"/>
        <v>0</v>
      </c>
      <c r="M39" s="189">
        <f t="shared" si="27"/>
        <v>0</v>
      </c>
      <c r="N39" s="189">
        <f t="shared" si="28"/>
        <v>0</v>
      </c>
      <c r="O39" s="189">
        <f t="shared" si="29"/>
        <v>0</v>
      </c>
    </row>
    <row r="40" spans="1:15" s="57" customFormat="1" ht="29.4" customHeight="1" x14ac:dyDescent="0.25">
      <c r="A40" s="303" t="str">
        <f>'Kalk UHR GS Deisenhofen'!A40</f>
        <v>Schule</v>
      </c>
      <c r="B40" s="303" t="str">
        <f>'Kalk UHR GS Deisenhofen'!B40</f>
        <v>OG</v>
      </c>
      <c r="C40" s="303" t="str">
        <f>'Kalk UHR GS Deisenhofen'!C40</f>
        <v>1.C.F.05</v>
      </c>
      <c r="D40" s="303" t="str">
        <f>'Kalk UHR GS Deisenhofen'!D40</f>
        <v>Flur</v>
      </c>
      <c r="E40" s="229">
        <f>1.74*2.1</f>
        <v>3.6539999999999999</v>
      </c>
      <c r="F40" s="195">
        <v>0</v>
      </c>
      <c r="G40" s="195">
        <v>12</v>
      </c>
      <c r="H40" s="186">
        <f t="shared" si="26"/>
        <v>43.847999999999999</v>
      </c>
      <c r="I40" s="549"/>
      <c r="J40" s="187"/>
      <c r="K40" s="188">
        <f t="shared" si="22"/>
        <v>0</v>
      </c>
      <c r="L40" s="548">
        <f t="shared" si="2"/>
        <v>0</v>
      </c>
      <c r="M40" s="189">
        <f t="shared" si="27"/>
        <v>0</v>
      </c>
      <c r="N40" s="189">
        <f t="shared" si="28"/>
        <v>0</v>
      </c>
      <c r="O40" s="189">
        <f t="shared" si="29"/>
        <v>0</v>
      </c>
    </row>
    <row r="41" spans="1:15" s="57" customFormat="1" ht="29.4" customHeight="1" x14ac:dyDescent="0.25">
      <c r="A41" s="303" t="str">
        <f>'Kalk UHR GS Deisenhofen'!A41</f>
        <v>Schule</v>
      </c>
      <c r="B41" s="303" t="str">
        <f>'Kalk UHR GS Deisenhofen'!B41</f>
        <v>OG</v>
      </c>
      <c r="C41" s="303" t="str">
        <f>'Kalk UHR GS Deisenhofen'!C41</f>
        <v>1.C.25</v>
      </c>
      <c r="D41" s="303" t="str">
        <f>'Kalk UHR GS Deisenhofen'!D41</f>
        <v>Garderobe</v>
      </c>
      <c r="E41" s="229"/>
      <c r="F41" s="195">
        <v>0</v>
      </c>
      <c r="G41" s="195">
        <v>12</v>
      </c>
      <c r="H41" s="186">
        <f t="shared" si="26"/>
        <v>0</v>
      </c>
      <c r="I41" s="549"/>
      <c r="J41" s="187"/>
      <c r="K41" s="188">
        <f t="shared" si="22"/>
        <v>0</v>
      </c>
      <c r="L41" s="548">
        <f t="shared" si="2"/>
        <v>0</v>
      </c>
      <c r="M41" s="189">
        <f t="shared" si="27"/>
        <v>0</v>
      </c>
      <c r="N41" s="189">
        <f t="shared" si="28"/>
        <v>0</v>
      </c>
      <c r="O41" s="189">
        <f t="shared" si="29"/>
        <v>0</v>
      </c>
    </row>
    <row r="42" spans="1:15" s="57" customFormat="1" ht="29.4" customHeight="1" x14ac:dyDescent="0.25">
      <c r="A42" s="303" t="str">
        <f>'Kalk UHR GS Deisenhofen'!A42</f>
        <v>Schule</v>
      </c>
      <c r="B42" s="303" t="str">
        <f>'Kalk UHR GS Deisenhofen'!B42</f>
        <v>OG</v>
      </c>
      <c r="C42" s="303" t="str">
        <f>'Kalk UHR GS Deisenhofen'!C42</f>
        <v>1.C.26</v>
      </c>
      <c r="D42" s="303" t="str">
        <f>'Kalk UHR GS Deisenhofen'!D42</f>
        <v>Klassenraum 13</v>
      </c>
      <c r="E42" s="229"/>
      <c r="F42" s="195">
        <v>0</v>
      </c>
      <c r="G42" s="195">
        <v>12</v>
      </c>
      <c r="H42" s="186">
        <f t="shared" si="26"/>
        <v>0</v>
      </c>
      <c r="I42" s="549"/>
      <c r="J42" s="187"/>
      <c r="K42" s="188">
        <f t="shared" si="22"/>
        <v>0</v>
      </c>
      <c r="L42" s="548">
        <f t="shared" si="2"/>
        <v>0</v>
      </c>
      <c r="M42" s="189">
        <f t="shared" si="27"/>
        <v>0</v>
      </c>
      <c r="N42" s="189">
        <f t="shared" si="28"/>
        <v>0</v>
      </c>
      <c r="O42" s="189">
        <f t="shared" si="29"/>
        <v>0</v>
      </c>
    </row>
    <row r="43" spans="1:15" s="57" customFormat="1" ht="29.4" customHeight="1" x14ac:dyDescent="0.25">
      <c r="A43" s="303" t="str">
        <f>'Kalk UHR GS Deisenhofen'!A43</f>
        <v>Schule</v>
      </c>
      <c r="B43" s="303" t="str">
        <f>'Kalk UHR GS Deisenhofen'!B43</f>
        <v>OG</v>
      </c>
      <c r="C43" s="303" t="str">
        <f>'Kalk UHR GS Deisenhofen'!C43</f>
        <v>1.C.27</v>
      </c>
      <c r="D43" s="303" t="str">
        <f>'Kalk UHR GS Deisenhofen'!D43</f>
        <v>Gruppenraum</v>
      </c>
      <c r="E43" s="229"/>
      <c r="F43" s="195">
        <v>0</v>
      </c>
      <c r="G43" s="195">
        <v>12</v>
      </c>
      <c r="H43" s="186">
        <f t="shared" si="26"/>
        <v>0</v>
      </c>
      <c r="I43" s="549"/>
      <c r="J43" s="187"/>
      <c r="K43" s="188">
        <f t="shared" si="22"/>
        <v>0</v>
      </c>
      <c r="L43" s="548">
        <f t="shared" si="2"/>
        <v>0</v>
      </c>
      <c r="M43" s="189">
        <f t="shared" si="27"/>
        <v>0</v>
      </c>
      <c r="N43" s="189">
        <f t="shared" si="28"/>
        <v>0</v>
      </c>
      <c r="O43" s="189">
        <f t="shared" si="29"/>
        <v>0</v>
      </c>
    </row>
    <row r="44" spans="1:15" s="57" customFormat="1" ht="29.4" customHeight="1" x14ac:dyDescent="0.25">
      <c r="A44" s="303" t="str">
        <f>'Kalk UHR GS Deisenhofen'!A44</f>
        <v>Schule</v>
      </c>
      <c r="B44" s="303" t="str">
        <f>'Kalk UHR GS Deisenhofen'!B44</f>
        <v>OG</v>
      </c>
      <c r="C44" s="303" t="str">
        <f>'Kalk UHR GS Deisenhofen'!C44</f>
        <v>1.C.28</v>
      </c>
      <c r="D44" s="303" t="str">
        <f>'Kalk UHR GS Deisenhofen'!D44</f>
        <v>Klassenraum 14</v>
      </c>
      <c r="E44" s="229"/>
      <c r="F44" s="195">
        <v>0</v>
      </c>
      <c r="G44" s="195">
        <v>12</v>
      </c>
      <c r="H44" s="186">
        <f t="shared" si="26"/>
        <v>0</v>
      </c>
      <c r="I44" s="549"/>
      <c r="J44" s="187"/>
      <c r="K44" s="188">
        <f t="shared" si="22"/>
        <v>0</v>
      </c>
      <c r="L44" s="548">
        <f t="shared" si="2"/>
        <v>0</v>
      </c>
      <c r="M44" s="189">
        <f t="shared" si="27"/>
        <v>0</v>
      </c>
      <c r="N44" s="189">
        <f t="shared" si="28"/>
        <v>0</v>
      </c>
      <c r="O44" s="189">
        <f t="shared" si="29"/>
        <v>0</v>
      </c>
    </row>
    <row r="45" spans="1:15" s="57" customFormat="1" ht="29.4" customHeight="1" x14ac:dyDescent="0.25">
      <c r="A45" s="303" t="str">
        <f>'Kalk UHR GS Deisenhofen'!A45</f>
        <v>Schule</v>
      </c>
      <c r="B45" s="303" t="str">
        <f>'Kalk UHR GS Deisenhofen'!B45</f>
        <v>OG</v>
      </c>
      <c r="C45" s="303" t="str">
        <f>'Kalk UHR GS Deisenhofen'!C45</f>
        <v>1.C.29</v>
      </c>
      <c r="D45" s="303" t="str">
        <f>'Kalk UHR GS Deisenhofen'!D45</f>
        <v>Garderobe</v>
      </c>
      <c r="E45" s="229"/>
      <c r="F45" s="195">
        <v>0</v>
      </c>
      <c r="G45" s="195">
        <v>12</v>
      </c>
      <c r="H45" s="186">
        <f t="shared" si="26"/>
        <v>0</v>
      </c>
      <c r="I45" s="549"/>
      <c r="J45" s="187"/>
      <c r="K45" s="188">
        <f t="shared" si="22"/>
        <v>0</v>
      </c>
      <c r="L45" s="548">
        <f t="shared" si="2"/>
        <v>0</v>
      </c>
      <c r="M45" s="189">
        <f t="shared" si="27"/>
        <v>0</v>
      </c>
      <c r="N45" s="189">
        <f t="shared" si="28"/>
        <v>0</v>
      </c>
      <c r="O45" s="189">
        <f t="shared" si="29"/>
        <v>0</v>
      </c>
    </row>
    <row r="46" spans="1:15" s="57" customFormat="1" ht="29.4" customHeight="1" x14ac:dyDescent="0.25">
      <c r="A46" s="303" t="str">
        <f>'Kalk UHR GS Deisenhofen'!A46</f>
        <v>Schule</v>
      </c>
      <c r="B46" s="303" t="str">
        <f>'Kalk UHR GS Deisenhofen'!B46</f>
        <v>OG</v>
      </c>
      <c r="C46" s="303" t="str">
        <f>'Kalk UHR GS Deisenhofen'!C46</f>
        <v>1.C.F.06</v>
      </c>
      <c r="D46" s="303" t="str">
        <f>'Kalk UHR GS Deisenhofen'!D46</f>
        <v>Flur</v>
      </c>
      <c r="E46" s="229">
        <f>1.85*2.74+4.55*0.65+4.53*0.65</f>
        <v>10.971</v>
      </c>
      <c r="F46" s="195">
        <v>0</v>
      </c>
      <c r="G46" s="195">
        <v>12</v>
      </c>
      <c r="H46" s="186">
        <f t="shared" si="26"/>
        <v>131.65199999999999</v>
      </c>
      <c r="I46" s="549"/>
      <c r="J46" s="187"/>
      <c r="K46" s="188">
        <f t="shared" si="22"/>
        <v>0</v>
      </c>
      <c r="L46" s="548">
        <f t="shared" si="2"/>
        <v>0</v>
      </c>
      <c r="M46" s="189">
        <f t="shared" si="27"/>
        <v>0</v>
      </c>
      <c r="N46" s="189">
        <f t="shared" si="28"/>
        <v>0</v>
      </c>
      <c r="O46" s="189">
        <f t="shared" si="29"/>
        <v>0</v>
      </c>
    </row>
    <row r="47" spans="1:15" s="57" customFormat="1" ht="29.4" customHeight="1" x14ac:dyDescent="0.25">
      <c r="A47" s="303" t="str">
        <f>'Kalk UHR GS Deisenhofen'!A47</f>
        <v>Schule</v>
      </c>
      <c r="B47" s="303" t="str">
        <f>'Kalk UHR GS Deisenhofen'!B47</f>
        <v>OG</v>
      </c>
      <c r="C47" s="303" t="str">
        <f>'Kalk UHR GS Deisenhofen'!C47</f>
        <v>1.C.T.05</v>
      </c>
      <c r="D47" s="303" t="str">
        <f>'Kalk UHR GS Deisenhofen'!D47</f>
        <v>Treppe aus Wohnung</v>
      </c>
      <c r="E47" s="229">
        <f>2.74*3.3</f>
        <v>9.0419999999999998</v>
      </c>
      <c r="F47" s="195">
        <v>0</v>
      </c>
      <c r="G47" s="195">
        <v>12</v>
      </c>
      <c r="H47" s="186">
        <f t="shared" si="26"/>
        <v>108.50399999999999</v>
      </c>
      <c r="I47" s="549"/>
      <c r="J47" s="187"/>
      <c r="K47" s="188">
        <f t="shared" si="22"/>
        <v>0</v>
      </c>
      <c r="L47" s="548">
        <f t="shared" si="2"/>
        <v>0</v>
      </c>
      <c r="M47" s="189">
        <f t="shared" si="27"/>
        <v>0</v>
      </c>
      <c r="N47" s="189">
        <f t="shared" si="28"/>
        <v>0</v>
      </c>
      <c r="O47" s="189">
        <f t="shared" si="29"/>
        <v>0</v>
      </c>
    </row>
    <row r="48" spans="1:15" s="57" customFormat="1" ht="29.4" customHeight="1" x14ac:dyDescent="0.25">
      <c r="A48" s="303" t="str">
        <f>'Kalk UHR GS Deisenhofen'!A48</f>
        <v>Schule</v>
      </c>
      <c r="B48" s="303" t="str">
        <f>'Kalk UHR GS Deisenhofen'!B48</f>
        <v>OG</v>
      </c>
      <c r="C48" s="303" t="str">
        <f>'Kalk UHR GS Deisenhofen'!C48</f>
        <v>1.C.30</v>
      </c>
      <c r="D48" s="303" t="str">
        <f>'Kalk UHR GS Deisenhofen'!D48</f>
        <v>Wohnung</v>
      </c>
      <c r="E48" s="229"/>
      <c r="F48" s="195">
        <v>0</v>
      </c>
      <c r="G48" s="195">
        <v>12</v>
      </c>
      <c r="H48" s="186">
        <f t="shared" si="26"/>
        <v>0</v>
      </c>
      <c r="I48" s="549"/>
      <c r="J48" s="187"/>
      <c r="K48" s="188">
        <f t="shared" si="22"/>
        <v>0</v>
      </c>
      <c r="L48" s="548">
        <f t="shared" si="2"/>
        <v>0</v>
      </c>
      <c r="M48" s="189">
        <f t="shared" si="27"/>
        <v>0</v>
      </c>
      <c r="N48" s="189">
        <f t="shared" si="28"/>
        <v>0</v>
      </c>
      <c r="O48" s="189">
        <f t="shared" si="29"/>
        <v>0</v>
      </c>
    </row>
    <row r="49" spans="1:15" s="57" customFormat="1" ht="29.4" customHeight="1" x14ac:dyDescent="0.25">
      <c r="A49" s="303" t="str">
        <f>'Kalk UHR GS Deisenhofen'!A49</f>
        <v>Schule</v>
      </c>
      <c r="B49" s="303" t="str">
        <f>'Kalk UHR GS Deisenhofen'!B49</f>
        <v>OG</v>
      </c>
      <c r="C49" s="303" t="str">
        <f>'Kalk UHR GS Deisenhofen'!C49</f>
        <v>1.C.31</v>
      </c>
      <c r="D49" s="303" t="str">
        <f>'Kalk UHR GS Deisenhofen'!D49</f>
        <v>ELT</v>
      </c>
      <c r="E49" s="229"/>
      <c r="F49" s="195">
        <v>0</v>
      </c>
      <c r="G49" s="195">
        <v>12</v>
      </c>
      <c r="H49" s="186">
        <f t="shared" si="26"/>
        <v>0</v>
      </c>
      <c r="I49" s="549"/>
      <c r="J49" s="187"/>
      <c r="K49" s="188">
        <f t="shared" si="22"/>
        <v>0</v>
      </c>
      <c r="L49" s="548">
        <f t="shared" si="2"/>
        <v>0</v>
      </c>
      <c r="M49" s="189">
        <f t="shared" si="27"/>
        <v>0</v>
      </c>
      <c r="N49" s="189">
        <f t="shared" si="28"/>
        <v>0</v>
      </c>
      <c r="O49" s="189">
        <f t="shared" si="29"/>
        <v>0</v>
      </c>
    </row>
    <row r="50" spans="1:15" s="57" customFormat="1" ht="29.4" customHeight="1" x14ac:dyDescent="0.25">
      <c r="A50" s="303" t="str">
        <f>'Kalk UHR GS Deisenhofen'!A50</f>
        <v>Mittagsbetreuung</v>
      </c>
      <c r="B50" s="303" t="str">
        <f>'Kalk UHR GS Deisenhofen'!B50</f>
        <v>OG</v>
      </c>
      <c r="C50" s="303" t="str">
        <f>'Kalk UHR GS Deisenhofen'!C50</f>
        <v>1.C.T.06</v>
      </c>
      <c r="D50" s="303" t="str">
        <f>'Kalk UHR GS Deisenhofen'!D50</f>
        <v>Treppe</v>
      </c>
      <c r="E50" s="229">
        <f>1.65*1.88+1.55*1.88</f>
        <v>6.016</v>
      </c>
      <c r="F50" s="195">
        <v>0</v>
      </c>
      <c r="G50" s="195">
        <v>12</v>
      </c>
      <c r="H50" s="186">
        <f t="shared" si="26"/>
        <v>72.192000000000007</v>
      </c>
      <c r="I50" s="549"/>
      <c r="J50" s="187"/>
      <c r="K50" s="188">
        <f t="shared" si="22"/>
        <v>0</v>
      </c>
      <c r="L50" s="548">
        <f t="shared" si="2"/>
        <v>0</v>
      </c>
      <c r="M50" s="189">
        <f t="shared" si="27"/>
        <v>0</v>
      </c>
      <c r="N50" s="189">
        <f t="shared" si="28"/>
        <v>0</v>
      </c>
      <c r="O50" s="189">
        <f t="shared" si="29"/>
        <v>0</v>
      </c>
    </row>
    <row r="51" spans="1:15" s="57" customFormat="1" ht="29.4" customHeight="1" x14ac:dyDescent="0.25">
      <c r="A51" s="303" t="str">
        <f>'Kalk UHR GS Deisenhofen'!A51</f>
        <v>Mittagsbetreuung</v>
      </c>
      <c r="B51" s="303" t="str">
        <f>'Kalk UHR GS Deisenhofen'!B51</f>
        <v>OG</v>
      </c>
      <c r="C51" s="303" t="str">
        <f>'Kalk UHR GS Deisenhofen'!C51</f>
        <v>1.C.33</v>
      </c>
      <c r="D51" s="303" t="str">
        <f>'Kalk UHR GS Deisenhofen'!D51</f>
        <v>Gruppenraum</v>
      </c>
      <c r="E51" s="229"/>
      <c r="F51" s="195">
        <v>0</v>
      </c>
      <c r="G51" s="195">
        <v>12</v>
      </c>
      <c r="H51" s="186">
        <f t="shared" si="26"/>
        <v>0</v>
      </c>
      <c r="I51" s="549"/>
      <c r="J51" s="187"/>
      <c r="K51" s="188">
        <f t="shared" si="22"/>
        <v>0</v>
      </c>
      <c r="L51" s="548">
        <f t="shared" si="2"/>
        <v>0</v>
      </c>
      <c r="M51" s="189">
        <f t="shared" si="27"/>
        <v>0</v>
      </c>
      <c r="N51" s="189">
        <f t="shared" si="28"/>
        <v>0</v>
      </c>
      <c r="O51" s="189">
        <f t="shared" si="29"/>
        <v>0</v>
      </c>
    </row>
    <row r="52" spans="1:15" s="57" customFormat="1" ht="29.4" customHeight="1" x14ac:dyDescent="0.25">
      <c r="A52" s="303" t="str">
        <f>'Kalk UHR GS Deisenhofen'!A52</f>
        <v>Mittagsbetreuung</v>
      </c>
      <c r="B52" s="303" t="str">
        <f>'Kalk UHR GS Deisenhofen'!B52</f>
        <v>OG</v>
      </c>
      <c r="C52" s="303" t="str">
        <f>'Kalk UHR GS Deisenhofen'!C52</f>
        <v>1.C.34</v>
      </c>
      <c r="D52" s="303" t="str">
        <f>'Kalk UHR GS Deisenhofen'!D52</f>
        <v>Nebenraum</v>
      </c>
      <c r="E52" s="229"/>
      <c r="F52" s="195">
        <v>0</v>
      </c>
      <c r="G52" s="195">
        <v>12</v>
      </c>
      <c r="H52" s="186">
        <f t="shared" si="26"/>
        <v>0</v>
      </c>
      <c r="I52" s="549"/>
      <c r="J52" s="187"/>
      <c r="K52" s="188">
        <f t="shared" si="22"/>
        <v>0</v>
      </c>
      <c r="L52" s="548">
        <f t="shared" si="2"/>
        <v>0</v>
      </c>
      <c r="M52" s="189">
        <f t="shared" si="27"/>
        <v>0</v>
      </c>
      <c r="N52" s="189">
        <f t="shared" si="28"/>
        <v>0</v>
      </c>
      <c r="O52" s="189">
        <f t="shared" si="29"/>
        <v>0</v>
      </c>
    </row>
    <row r="53" spans="1:15" s="57" customFormat="1" ht="29.4" customHeight="1" x14ac:dyDescent="0.25">
      <c r="A53" s="303" t="str">
        <f>'Kalk UHR GS Deisenhofen'!A53</f>
        <v>Mittagsbetreuung</v>
      </c>
      <c r="B53" s="303" t="str">
        <f>'Kalk UHR GS Deisenhofen'!B53</f>
        <v>OG</v>
      </c>
      <c r="C53" s="303" t="str">
        <f>'Kalk UHR GS Deisenhofen'!C53</f>
        <v>1.C.F.07</v>
      </c>
      <c r="D53" s="303" t="str">
        <f>'Kalk UHR GS Deisenhofen'!D53</f>
        <v>Flur</v>
      </c>
      <c r="E53" s="229">
        <f>2.45*2.14</f>
        <v>5.2430000000000003</v>
      </c>
      <c r="F53" s="195">
        <v>0</v>
      </c>
      <c r="G53" s="195">
        <v>12</v>
      </c>
      <c r="H53" s="186">
        <f t="shared" si="26"/>
        <v>62.916000000000004</v>
      </c>
      <c r="I53" s="549"/>
      <c r="J53" s="187"/>
      <c r="K53" s="188">
        <f t="shared" si="22"/>
        <v>0</v>
      </c>
      <c r="L53" s="548">
        <f t="shared" si="2"/>
        <v>0</v>
      </c>
      <c r="M53" s="189">
        <f t="shared" si="27"/>
        <v>0</v>
      </c>
      <c r="N53" s="189">
        <f t="shared" si="28"/>
        <v>0</v>
      </c>
      <c r="O53" s="189">
        <f t="shared" si="29"/>
        <v>0</v>
      </c>
    </row>
    <row r="54" spans="1:15" s="57" customFormat="1" ht="29.4" customHeight="1" x14ac:dyDescent="0.25">
      <c r="A54" s="303" t="str">
        <f>'Kalk UHR GS Deisenhofen'!A54</f>
        <v>Mittagsbetreuung</v>
      </c>
      <c r="B54" s="303" t="str">
        <f>'Kalk UHR GS Deisenhofen'!B54</f>
        <v>OG</v>
      </c>
      <c r="C54" s="303" t="str">
        <f>'Kalk UHR GS Deisenhofen'!C54</f>
        <v>1.C.35</v>
      </c>
      <c r="D54" s="303" t="str">
        <f>'Kalk UHR GS Deisenhofen'!D54</f>
        <v>Nebenraum</v>
      </c>
      <c r="E54" s="229"/>
      <c r="F54" s="195">
        <v>0</v>
      </c>
      <c r="G54" s="195">
        <v>12</v>
      </c>
      <c r="H54" s="186">
        <f t="shared" si="26"/>
        <v>0</v>
      </c>
      <c r="I54" s="549"/>
      <c r="J54" s="187"/>
      <c r="K54" s="188">
        <f t="shared" si="22"/>
        <v>0</v>
      </c>
      <c r="L54" s="548">
        <f t="shared" si="2"/>
        <v>0</v>
      </c>
      <c r="M54" s="189">
        <f t="shared" si="27"/>
        <v>0</v>
      </c>
      <c r="N54" s="189">
        <f t="shared" si="28"/>
        <v>0</v>
      </c>
      <c r="O54" s="189">
        <f t="shared" si="29"/>
        <v>0</v>
      </c>
    </row>
    <row r="55" spans="1:15" s="57" customFormat="1" ht="29.4" customHeight="1" x14ac:dyDescent="0.25">
      <c r="A55" s="303" t="str">
        <f>'Kalk UHR GS Deisenhofen'!A55</f>
        <v>Mittagsbetreuung</v>
      </c>
      <c r="B55" s="303" t="str">
        <f>'Kalk UHR GS Deisenhofen'!B55</f>
        <v>OG</v>
      </c>
      <c r="C55" s="303" t="str">
        <f>'Kalk UHR GS Deisenhofen'!C55</f>
        <v>1.C.36</v>
      </c>
      <c r="D55" s="303" t="str">
        <f>'Kalk UHR GS Deisenhofen'!D55</f>
        <v>Bewegungsraum 2</v>
      </c>
      <c r="E55" s="229"/>
      <c r="F55" s="195">
        <v>0</v>
      </c>
      <c r="G55" s="195">
        <v>12</v>
      </c>
      <c r="H55" s="186">
        <f t="shared" si="26"/>
        <v>0</v>
      </c>
      <c r="I55" s="549"/>
      <c r="J55" s="187"/>
      <c r="K55" s="188">
        <f t="shared" si="22"/>
        <v>0</v>
      </c>
      <c r="L55" s="548">
        <f t="shared" si="2"/>
        <v>0</v>
      </c>
      <c r="M55" s="189">
        <f t="shared" si="27"/>
        <v>0</v>
      </c>
      <c r="N55" s="189">
        <f t="shared" si="28"/>
        <v>0</v>
      </c>
      <c r="O55" s="189">
        <f t="shared" si="29"/>
        <v>0</v>
      </c>
    </row>
    <row r="56" spans="1:15" s="57" customFormat="1" ht="29.4" customHeight="1" x14ac:dyDescent="0.25">
      <c r="A56" s="303" t="str">
        <f>'Kalk UHR GS Deisenhofen'!A56</f>
        <v>Mittagsbetreuung</v>
      </c>
      <c r="B56" s="303" t="str">
        <f>'Kalk UHR GS Deisenhofen'!B56</f>
        <v>OG</v>
      </c>
      <c r="C56" s="303" t="str">
        <f>'Kalk UHR GS Deisenhofen'!C56</f>
        <v>1.C.F.08</v>
      </c>
      <c r="D56" s="303" t="str">
        <f>'Kalk UHR GS Deisenhofen'!D56</f>
        <v>Flur</v>
      </c>
      <c r="E56" s="229"/>
      <c r="F56" s="195">
        <v>0</v>
      </c>
      <c r="G56" s="195">
        <v>12</v>
      </c>
      <c r="H56" s="186">
        <f t="shared" si="26"/>
        <v>0</v>
      </c>
      <c r="I56" s="549"/>
      <c r="J56" s="187"/>
      <c r="K56" s="188">
        <f t="shared" si="22"/>
        <v>0</v>
      </c>
      <c r="L56" s="548">
        <f t="shared" si="2"/>
        <v>0</v>
      </c>
      <c r="M56" s="189">
        <f t="shared" si="27"/>
        <v>0</v>
      </c>
      <c r="N56" s="189">
        <f t="shared" si="28"/>
        <v>0</v>
      </c>
      <c r="O56" s="189">
        <f t="shared" si="29"/>
        <v>0</v>
      </c>
    </row>
    <row r="57" spans="1:15" s="57" customFormat="1" ht="29.4" customHeight="1" x14ac:dyDescent="0.25">
      <c r="A57" s="303" t="str">
        <f>'Kalk UHR GS Deisenhofen'!A57</f>
        <v>Schule</v>
      </c>
      <c r="B57" s="303" t="str">
        <f>'Kalk UHR GS Deisenhofen'!B57</f>
        <v>OG</v>
      </c>
      <c r="C57" s="303" t="str">
        <f>'Kalk UHR GS Deisenhofen'!C57</f>
        <v>1.D.Z.02</v>
      </c>
      <c r="D57" s="303" t="str">
        <f>'Kalk UHR GS Deisenhofen'!D57</f>
        <v>Aufzug (Turnus siehe EG)</v>
      </c>
      <c r="E57" s="229"/>
      <c r="F57" s="195">
        <v>0</v>
      </c>
      <c r="G57" s="195">
        <v>12</v>
      </c>
      <c r="H57" s="186">
        <f t="shared" si="26"/>
        <v>0</v>
      </c>
      <c r="I57" s="549"/>
      <c r="J57" s="187"/>
      <c r="K57" s="188">
        <f t="shared" si="22"/>
        <v>0</v>
      </c>
      <c r="L57" s="548">
        <f t="shared" si="2"/>
        <v>0</v>
      </c>
      <c r="M57" s="189">
        <f t="shared" si="27"/>
        <v>0</v>
      </c>
      <c r="N57" s="189">
        <f t="shared" si="28"/>
        <v>0</v>
      </c>
      <c r="O57" s="189">
        <f t="shared" si="29"/>
        <v>0</v>
      </c>
    </row>
    <row r="58" spans="1:15" s="57" customFormat="1" ht="29.4" customHeight="1" x14ac:dyDescent="0.25">
      <c r="A58" s="303" t="str">
        <f>'Kalk UHR GS Deisenhofen'!A58</f>
        <v>Schule</v>
      </c>
      <c r="B58" s="303" t="str">
        <f>'Kalk UHR GS Deisenhofen'!B58</f>
        <v>OG</v>
      </c>
      <c r="C58" s="303" t="str">
        <f>'Kalk UHR GS Deisenhofen'!C58</f>
        <v>1.D.F.10</v>
      </c>
      <c r="D58" s="303" t="str">
        <f>'Kalk UHR GS Deisenhofen'!D58</f>
        <v>Flur</v>
      </c>
      <c r="E58" s="229">
        <f>2.38*2.68</f>
        <v>6.3784000000000001</v>
      </c>
      <c r="F58" s="195">
        <v>0</v>
      </c>
      <c r="G58" s="195">
        <v>12</v>
      </c>
      <c r="H58" s="186">
        <f t="shared" si="26"/>
        <v>76.540800000000004</v>
      </c>
      <c r="I58" s="549"/>
      <c r="J58" s="187"/>
      <c r="K58" s="188">
        <f t="shared" si="22"/>
        <v>0</v>
      </c>
      <c r="L58" s="548">
        <f t="shared" si="2"/>
        <v>0</v>
      </c>
      <c r="M58" s="189">
        <f t="shared" si="27"/>
        <v>0</v>
      </c>
      <c r="N58" s="189">
        <f t="shared" si="28"/>
        <v>0</v>
      </c>
      <c r="O58" s="189">
        <f t="shared" si="29"/>
        <v>0</v>
      </c>
    </row>
    <row r="59" spans="1:15" s="57" customFormat="1" ht="29.4" customHeight="1" x14ac:dyDescent="0.25">
      <c r="A59" s="303" t="str">
        <f>'Kalk UHR GS Deisenhofen'!A59</f>
        <v>Schule</v>
      </c>
      <c r="B59" s="303" t="str">
        <f>'Kalk UHR GS Deisenhofen'!B59</f>
        <v>OG</v>
      </c>
      <c r="C59" s="303" t="str">
        <f>'Kalk UHR GS Deisenhofen'!C59</f>
        <v>1.D.F.11</v>
      </c>
      <c r="D59" s="303" t="str">
        <f>'Kalk UHR GS Deisenhofen'!D59</f>
        <v>Flur</v>
      </c>
      <c r="E59" s="229">
        <f>1.56*1.88</f>
        <v>2.9327999999999999</v>
      </c>
      <c r="F59" s="195">
        <v>0</v>
      </c>
      <c r="G59" s="195">
        <v>12</v>
      </c>
      <c r="H59" s="186">
        <f t="shared" si="26"/>
        <v>35.193599999999996</v>
      </c>
      <c r="I59" s="549"/>
      <c r="J59" s="187"/>
      <c r="K59" s="188">
        <f t="shared" si="22"/>
        <v>0</v>
      </c>
      <c r="L59" s="548">
        <f t="shared" si="2"/>
        <v>0</v>
      </c>
      <c r="M59" s="189">
        <f t="shared" si="27"/>
        <v>0</v>
      </c>
      <c r="N59" s="189">
        <f t="shared" si="28"/>
        <v>0</v>
      </c>
      <c r="O59" s="189">
        <f t="shared" si="29"/>
        <v>0</v>
      </c>
    </row>
    <row r="60" spans="1:15" s="57" customFormat="1" ht="29.4" customHeight="1" x14ac:dyDescent="0.25">
      <c r="A60" s="303" t="str">
        <f>'Kalk UHR GS Deisenhofen'!A60</f>
        <v>Schule</v>
      </c>
      <c r="B60" s="303" t="str">
        <f>'Kalk UHR GS Deisenhofen'!B60</f>
        <v>OG</v>
      </c>
      <c r="C60" s="303" t="str">
        <f>'Kalk UHR GS Deisenhofen'!C60</f>
        <v>1.D.37</v>
      </c>
      <c r="D60" s="303" t="str">
        <f>'Kalk UHR GS Deisenhofen'!D60</f>
        <v>Stille Pause</v>
      </c>
      <c r="E60" s="229"/>
      <c r="F60" s="195">
        <v>0</v>
      </c>
      <c r="G60" s="195">
        <v>12</v>
      </c>
      <c r="H60" s="186">
        <f t="shared" si="26"/>
        <v>0</v>
      </c>
      <c r="I60" s="549"/>
      <c r="J60" s="187"/>
      <c r="K60" s="188">
        <f t="shared" si="22"/>
        <v>0</v>
      </c>
      <c r="L60" s="548">
        <f t="shared" si="2"/>
        <v>0</v>
      </c>
      <c r="M60" s="189">
        <f t="shared" si="27"/>
        <v>0</v>
      </c>
      <c r="N60" s="189">
        <f t="shared" si="28"/>
        <v>0</v>
      </c>
      <c r="O60" s="189">
        <f t="shared" si="29"/>
        <v>0</v>
      </c>
    </row>
    <row r="61" spans="1:15" s="57" customFormat="1" ht="29.4" customHeight="1" x14ac:dyDescent="0.25">
      <c r="A61" s="303" t="str">
        <f>'Kalk UHR GS Deisenhofen'!A61</f>
        <v>Schule</v>
      </c>
      <c r="B61" s="303" t="str">
        <f>'Kalk UHR GS Deisenhofen'!B61</f>
        <v>OG</v>
      </c>
      <c r="C61" s="303" t="str">
        <f>'Kalk UHR GS Deisenhofen'!C61</f>
        <v>1.D.38</v>
      </c>
      <c r="D61" s="303" t="str">
        <f>'Kalk UHR GS Deisenhofen'!D61</f>
        <v>WC-Jungen</v>
      </c>
      <c r="E61" s="229"/>
      <c r="F61" s="195">
        <v>0</v>
      </c>
      <c r="G61" s="195">
        <v>12</v>
      </c>
      <c r="H61" s="186">
        <f t="shared" si="26"/>
        <v>0</v>
      </c>
      <c r="I61" s="549"/>
      <c r="J61" s="187"/>
      <c r="K61" s="188">
        <f t="shared" si="22"/>
        <v>0</v>
      </c>
      <c r="L61" s="548">
        <f t="shared" si="2"/>
        <v>0</v>
      </c>
      <c r="M61" s="189">
        <f t="shared" si="27"/>
        <v>0</v>
      </c>
      <c r="N61" s="189">
        <f t="shared" si="28"/>
        <v>0</v>
      </c>
      <c r="O61" s="189">
        <f t="shared" si="29"/>
        <v>0</v>
      </c>
    </row>
    <row r="62" spans="1:15" s="57" customFormat="1" ht="29.4" customHeight="1" x14ac:dyDescent="0.25">
      <c r="A62" s="303" t="str">
        <f>'Kalk UHR GS Deisenhofen'!A62</f>
        <v>Schule</v>
      </c>
      <c r="B62" s="303" t="str">
        <f>'Kalk UHR GS Deisenhofen'!B62</f>
        <v>OG</v>
      </c>
      <c r="C62" s="303" t="str">
        <f>'Kalk UHR GS Deisenhofen'!C62</f>
        <v>1.D.39</v>
      </c>
      <c r="D62" s="303" t="str">
        <f>'Kalk UHR GS Deisenhofen'!D62</f>
        <v>WC-Lehrer</v>
      </c>
      <c r="E62" s="229"/>
      <c r="F62" s="195">
        <v>0</v>
      </c>
      <c r="G62" s="195">
        <v>12</v>
      </c>
      <c r="H62" s="186">
        <f t="shared" si="26"/>
        <v>0</v>
      </c>
      <c r="I62" s="549"/>
      <c r="J62" s="187"/>
      <c r="K62" s="188">
        <f t="shared" si="22"/>
        <v>0</v>
      </c>
      <c r="L62" s="548">
        <f t="shared" si="2"/>
        <v>0</v>
      </c>
      <c r="M62" s="189">
        <f t="shared" si="27"/>
        <v>0</v>
      </c>
      <c r="N62" s="189">
        <f t="shared" si="28"/>
        <v>0</v>
      </c>
      <c r="O62" s="189">
        <f t="shared" si="29"/>
        <v>0</v>
      </c>
    </row>
    <row r="63" spans="1:15" s="57" customFormat="1" ht="29.4" customHeight="1" x14ac:dyDescent="0.25">
      <c r="A63" s="303" t="str">
        <f>'Kalk UHR GS Deisenhofen'!A63</f>
        <v>Schule</v>
      </c>
      <c r="B63" s="303" t="str">
        <f>'Kalk UHR GS Deisenhofen'!B63</f>
        <v>OG</v>
      </c>
      <c r="C63" s="303" t="str">
        <f>'Kalk UHR GS Deisenhofen'!C63</f>
        <v>1.D.40</v>
      </c>
      <c r="D63" s="303" t="str">
        <f>'Kalk UHR GS Deisenhofen'!D63</f>
        <v>WC-Mädchen</v>
      </c>
      <c r="E63" s="229"/>
      <c r="F63" s="195">
        <v>0</v>
      </c>
      <c r="G63" s="195">
        <v>12</v>
      </c>
      <c r="H63" s="186">
        <f t="shared" si="26"/>
        <v>0</v>
      </c>
      <c r="I63" s="549"/>
      <c r="J63" s="187"/>
      <c r="K63" s="188">
        <f t="shared" si="22"/>
        <v>0</v>
      </c>
      <c r="L63" s="548">
        <f t="shared" si="2"/>
        <v>0</v>
      </c>
      <c r="M63" s="189">
        <f t="shared" si="27"/>
        <v>0</v>
      </c>
      <c r="N63" s="189">
        <f t="shared" si="28"/>
        <v>0</v>
      </c>
      <c r="O63" s="189">
        <f t="shared" si="29"/>
        <v>0</v>
      </c>
    </row>
    <row r="64" spans="1:15" s="57" customFormat="1" ht="29.4" customHeight="1" x14ac:dyDescent="0.25">
      <c r="A64" s="303" t="str">
        <f>'Kalk UHR GS Deisenhofen'!A64</f>
        <v>Schule</v>
      </c>
      <c r="B64" s="303" t="str">
        <f>'Kalk UHR GS Deisenhofen'!B64</f>
        <v>OG</v>
      </c>
      <c r="C64" s="303" t="str">
        <f>'Kalk UHR GS Deisenhofen'!C64</f>
        <v>1.D.40a</v>
      </c>
      <c r="D64" s="303" t="str">
        <f>'Kalk UHR GS Deisenhofen'!D64</f>
        <v>Putzraum</v>
      </c>
      <c r="E64" s="229"/>
      <c r="F64" s="195">
        <v>0</v>
      </c>
      <c r="G64" s="195">
        <v>12</v>
      </c>
      <c r="H64" s="186">
        <f t="shared" si="26"/>
        <v>0</v>
      </c>
      <c r="I64" s="549"/>
      <c r="J64" s="187"/>
      <c r="K64" s="188">
        <f t="shared" si="22"/>
        <v>0</v>
      </c>
      <c r="L64" s="548">
        <f t="shared" si="2"/>
        <v>0</v>
      </c>
      <c r="M64" s="189">
        <f t="shared" si="27"/>
        <v>0</v>
      </c>
      <c r="N64" s="189">
        <f t="shared" si="28"/>
        <v>0</v>
      </c>
      <c r="O64" s="189">
        <f t="shared" si="29"/>
        <v>0</v>
      </c>
    </row>
    <row r="65" spans="1:15" s="57" customFormat="1" ht="29.4" customHeight="1" x14ac:dyDescent="0.25">
      <c r="A65" s="303" t="str">
        <f>'Kalk UHR GS Deisenhofen'!A65</f>
        <v>Schule</v>
      </c>
      <c r="B65" s="303" t="str">
        <f>'Kalk UHR GS Deisenhofen'!B65</f>
        <v>OG</v>
      </c>
      <c r="C65" s="303" t="str">
        <f>'Kalk UHR GS Deisenhofen'!C65</f>
        <v>1.D.T.08</v>
      </c>
      <c r="D65" s="303" t="str">
        <f>'Kalk UHR GS Deisenhofen'!D65</f>
        <v>Treppe</v>
      </c>
      <c r="E65" s="229">
        <f>1.85*2*2</f>
        <v>7.4</v>
      </c>
      <c r="F65" s="195">
        <v>0</v>
      </c>
      <c r="G65" s="195">
        <v>12</v>
      </c>
      <c r="H65" s="186">
        <f t="shared" si="26"/>
        <v>88.800000000000011</v>
      </c>
      <c r="I65" s="549"/>
      <c r="J65" s="187"/>
      <c r="K65" s="188">
        <f t="shared" si="22"/>
        <v>0</v>
      </c>
      <c r="L65" s="548">
        <f t="shared" si="2"/>
        <v>0</v>
      </c>
      <c r="M65" s="189">
        <f t="shared" si="27"/>
        <v>0</v>
      </c>
      <c r="N65" s="189">
        <f t="shared" si="28"/>
        <v>0</v>
      </c>
      <c r="O65" s="189">
        <f t="shared" si="29"/>
        <v>0</v>
      </c>
    </row>
    <row r="66" spans="1:15" s="57" customFormat="1" ht="29.4" customHeight="1" x14ac:dyDescent="0.25">
      <c r="A66" s="303" t="str">
        <f>'Kalk UHR GS Deisenhofen'!A66</f>
        <v>Schule</v>
      </c>
      <c r="B66" s="303" t="str">
        <f>'Kalk UHR GS Deisenhofen'!B66</f>
        <v>OG</v>
      </c>
      <c r="C66" s="303" t="str">
        <f>'Kalk UHR GS Deisenhofen'!C66</f>
        <v>1.D.45</v>
      </c>
      <c r="D66" s="303" t="str">
        <f>'Kalk UHR GS Deisenhofen'!D66</f>
        <v>Klassen-/Fachraum 15</v>
      </c>
      <c r="E66" s="229"/>
      <c r="F66" s="195">
        <v>0</v>
      </c>
      <c r="G66" s="195">
        <v>12</v>
      </c>
      <c r="H66" s="186">
        <f t="shared" si="26"/>
        <v>0</v>
      </c>
      <c r="I66" s="549"/>
      <c r="J66" s="187"/>
      <c r="K66" s="188">
        <f t="shared" si="22"/>
        <v>0</v>
      </c>
      <c r="L66" s="548">
        <f t="shared" si="2"/>
        <v>0</v>
      </c>
      <c r="M66" s="189">
        <f t="shared" si="27"/>
        <v>0</v>
      </c>
      <c r="N66" s="189">
        <f t="shared" si="28"/>
        <v>0</v>
      </c>
      <c r="O66" s="189">
        <f t="shared" si="29"/>
        <v>0</v>
      </c>
    </row>
    <row r="67" spans="1:15" s="57" customFormat="1" ht="29.4" customHeight="1" x14ac:dyDescent="0.25">
      <c r="A67" s="303" t="str">
        <f>'Kalk UHR GS Deisenhofen'!A67</f>
        <v>Schule</v>
      </c>
      <c r="B67" s="303" t="str">
        <f>'Kalk UHR GS Deisenhofen'!B67</f>
        <v>OG</v>
      </c>
      <c r="C67" s="303" t="str">
        <f>'Kalk UHR GS Deisenhofen'!C67</f>
        <v>1.D.45a</v>
      </c>
      <c r="D67" s="303" t="str">
        <f>'Kalk UHR GS Deisenhofen'!D67</f>
        <v>Gruppenraum</v>
      </c>
      <c r="E67" s="229"/>
      <c r="F67" s="195">
        <v>0</v>
      </c>
      <c r="G67" s="195">
        <v>12</v>
      </c>
      <c r="H67" s="186">
        <f t="shared" si="26"/>
        <v>0</v>
      </c>
      <c r="I67" s="549"/>
      <c r="J67" s="187"/>
      <c r="K67" s="188">
        <f t="shared" si="22"/>
        <v>0</v>
      </c>
      <c r="L67" s="548">
        <f t="shared" si="2"/>
        <v>0</v>
      </c>
      <c r="M67" s="189">
        <f t="shared" si="27"/>
        <v>0</v>
      </c>
      <c r="N67" s="189">
        <f t="shared" si="28"/>
        <v>0</v>
      </c>
      <c r="O67" s="189">
        <f t="shared" si="29"/>
        <v>0</v>
      </c>
    </row>
    <row r="68" spans="1:15" s="57" customFormat="1" ht="29.4" customHeight="1" x14ac:dyDescent="0.25">
      <c r="A68" s="303" t="str">
        <f>'Kalk UHR GS Deisenhofen'!A68</f>
        <v>Schule</v>
      </c>
      <c r="B68" s="303" t="str">
        <f>'Kalk UHR GS Deisenhofen'!B68</f>
        <v>OG</v>
      </c>
      <c r="C68" s="303" t="str">
        <f>'Kalk UHR GS Deisenhofen'!C68</f>
        <v>1.D.46</v>
      </c>
      <c r="D68" s="303" t="str">
        <f>'Kalk UHR GS Deisenhofen'!D68</f>
        <v>Garderobe</v>
      </c>
      <c r="E68" s="229"/>
      <c r="F68" s="195">
        <v>0</v>
      </c>
      <c r="G68" s="195">
        <v>12</v>
      </c>
      <c r="H68" s="186">
        <f t="shared" si="26"/>
        <v>0</v>
      </c>
      <c r="I68" s="549"/>
      <c r="J68" s="187"/>
      <c r="K68" s="188">
        <f t="shared" si="22"/>
        <v>0</v>
      </c>
      <c r="L68" s="548">
        <f t="shared" si="2"/>
        <v>0</v>
      </c>
      <c r="M68" s="189">
        <f t="shared" si="27"/>
        <v>0</v>
      </c>
      <c r="N68" s="189">
        <f t="shared" si="28"/>
        <v>0</v>
      </c>
      <c r="O68" s="189">
        <f t="shared" si="29"/>
        <v>0</v>
      </c>
    </row>
    <row r="69" spans="1:15" s="57" customFormat="1" ht="29.4" customHeight="1" x14ac:dyDescent="0.25">
      <c r="A69" s="303" t="str">
        <f>'Kalk UHR GS Deisenhofen'!A69</f>
        <v>Schule</v>
      </c>
      <c r="B69" s="303" t="str">
        <f>'Kalk UHR GS Deisenhofen'!B69</f>
        <v>OG</v>
      </c>
      <c r="C69" s="303" t="str">
        <f>'Kalk UHR GS Deisenhofen'!C69</f>
        <v>1.D.47</v>
      </c>
      <c r="D69" s="303" t="str">
        <f>'Kalk UHR GS Deisenhofen'!D69</f>
        <v>Garderobe</v>
      </c>
      <c r="E69" s="229"/>
      <c r="F69" s="195">
        <v>0</v>
      </c>
      <c r="G69" s="195">
        <v>12</v>
      </c>
      <c r="H69" s="186">
        <f t="shared" si="26"/>
        <v>0</v>
      </c>
      <c r="I69" s="549"/>
      <c r="J69" s="187"/>
      <c r="K69" s="188">
        <f t="shared" si="22"/>
        <v>0</v>
      </c>
      <c r="L69" s="548">
        <f t="shared" si="2"/>
        <v>0</v>
      </c>
      <c r="M69" s="189">
        <f t="shared" si="27"/>
        <v>0</v>
      </c>
      <c r="N69" s="189">
        <f t="shared" si="28"/>
        <v>0</v>
      </c>
      <c r="O69" s="189">
        <f t="shared" si="29"/>
        <v>0</v>
      </c>
    </row>
    <row r="70" spans="1:15" s="57" customFormat="1" ht="29.4" customHeight="1" x14ac:dyDescent="0.25">
      <c r="A70" s="303" t="str">
        <f>'Kalk UHR GS Deisenhofen'!A70</f>
        <v>Schule</v>
      </c>
      <c r="B70" s="303" t="str">
        <f>'Kalk UHR GS Deisenhofen'!B70</f>
        <v>OG</v>
      </c>
      <c r="C70" s="303" t="str">
        <f>'Kalk UHR GS Deisenhofen'!C70</f>
        <v>1.D.48</v>
      </c>
      <c r="D70" s="303" t="str">
        <f>'Kalk UHR GS Deisenhofen'!D70</f>
        <v>Klassenraum 16</v>
      </c>
      <c r="E70" s="229"/>
      <c r="F70" s="195">
        <v>0</v>
      </c>
      <c r="G70" s="195">
        <v>12</v>
      </c>
      <c r="H70" s="186">
        <f t="shared" si="26"/>
        <v>0</v>
      </c>
      <c r="I70" s="549"/>
      <c r="J70" s="187"/>
      <c r="K70" s="188">
        <f t="shared" si="22"/>
        <v>0</v>
      </c>
      <c r="L70" s="548">
        <f t="shared" si="2"/>
        <v>0</v>
      </c>
      <c r="M70" s="189">
        <f t="shared" si="27"/>
        <v>0</v>
      </c>
      <c r="N70" s="189">
        <f t="shared" si="28"/>
        <v>0</v>
      </c>
      <c r="O70" s="189">
        <f t="shared" si="29"/>
        <v>0</v>
      </c>
    </row>
    <row r="71" spans="1:15" s="57" customFormat="1" ht="29.4" customHeight="1" x14ac:dyDescent="0.25">
      <c r="A71" s="303" t="str">
        <f>'Kalk UHR GS Deisenhofen'!A71</f>
        <v>Schule</v>
      </c>
      <c r="B71" s="303" t="str">
        <f>'Kalk UHR GS Deisenhofen'!B71</f>
        <v>OG</v>
      </c>
      <c r="C71" s="303" t="str">
        <f>'Kalk UHR GS Deisenhofen'!C71</f>
        <v>1.D.F.12</v>
      </c>
      <c r="D71" s="303" t="str">
        <f>'Kalk UHR GS Deisenhofen'!D71</f>
        <v>Flur</v>
      </c>
      <c r="E71" s="229">
        <f>1.85*2</f>
        <v>3.7</v>
      </c>
      <c r="F71" s="195">
        <v>0</v>
      </c>
      <c r="G71" s="195">
        <v>12</v>
      </c>
      <c r="H71" s="186">
        <f t="shared" si="26"/>
        <v>44.400000000000006</v>
      </c>
      <c r="I71" s="549"/>
      <c r="J71" s="187"/>
      <c r="K71" s="188">
        <f t="shared" si="22"/>
        <v>0</v>
      </c>
      <c r="L71" s="548">
        <f t="shared" si="2"/>
        <v>0</v>
      </c>
      <c r="M71" s="189">
        <f t="shared" si="27"/>
        <v>0</v>
      </c>
      <c r="N71" s="189">
        <f t="shared" si="28"/>
        <v>0</v>
      </c>
      <c r="O71" s="189">
        <f t="shared" si="29"/>
        <v>0</v>
      </c>
    </row>
    <row r="72" spans="1:15" s="57" customFormat="1" ht="29.4" customHeight="1" x14ac:dyDescent="0.25">
      <c r="A72" s="303" t="str">
        <f>'Kalk UHR GS Deisenhofen'!A72</f>
        <v>Hort</v>
      </c>
      <c r="B72" s="303" t="str">
        <f>'Kalk UHR GS Deisenhofen'!B72</f>
        <v>OG</v>
      </c>
      <c r="C72" s="303" t="str">
        <f>'Kalk UHR GS Deisenhofen'!C72</f>
        <v>1.D.41</v>
      </c>
      <c r="D72" s="303" t="str">
        <f>'Kalk UHR GS Deisenhofen'!D72</f>
        <v>Bewegungsraum 1</v>
      </c>
      <c r="E72" s="229"/>
      <c r="F72" s="195">
        <v>0</v>
      </c>
      <c r="G72" s="195">
        <v>12</v>
      </c>
      <c r="H72" s="186">
        <f t="shared" si="26"/>
        <v>0</v>
      </c>
      <c r="I72" s="549"/>
      <c r="J72" s="187"/>
      <c r="K72" s="188">
        <f t="shared" si="22"/>
        <v>0</v>
      </c>
      <c r="L72" s="548">
        <f t="shared" si="2"/>
        <v>0</v>
      </c>
      <c r="M72" s="189">
        <f t="shared" si="27"/>
        <v>0</v>
      </c>
      <c r="N72" s="189">
        <f t="shared" si="28"/>
        <v>0</v>
      </c>
      <c r="O72" s="189">
        <f t="shared" si="29"/>
        <v>0</v>
      </c>
    </row>
    <row r="73" spans="1:15" s="57" customFormat="1" ht="29.4" customHeight="1" x14ac:dyDescent="0.25">
      <c r="A73" s="303" t="str">
        <f>'Kalk UHR GS Deisenhofen'!A73</f>
        <v>Hort</v>
      </c>
      <c r="B73" s="303" t="str">
        <f>'Kalk UHR GS Deisenhofen'!B73</f>
        <v>OG</v>
      </c>
      <c r="C73" s="303" t="str">
        <f>'Kalk UHR GS Deisenhofen'!C73</f>
        <v>1.D.F.13</v>
      </c>
      <c r="D73" s="303" t="str">
        <f>'Kalk UHR GS Deisenhofen'!D73</f>
        <v>Flur</v>
      </c>
      <c r="E73" s="229">
        <f>1.85*2</f>
        <v>3.7</v>
      </c>
      <c r="F73" s="195">
        <v>0</v>
      </c>
      <c r="G73" s="195">
        <v>12</v>
      </c>
      <c r="H73" s="186">
        <f t="shared" si="26"/>
        <v>44.400000000000006</v>
      </c>
      <c r="I73" s="549"/>
      <c r="J73" s="187"/>
      <c r="K73" s="188">
        <f t="shared" si="22"/>
        <v>0</v>
      </c>
      <c r="L73" s="548">
        <f t="shared" si="2"/>
        <v>0</v>
      </c>
      <c r="M73" s="189">
        <f t="shared" si="27"/>
        <v>0</v>
      </c>
      <c r="N73" s="189">
        <f t="shared" si="28"/>
        <v>0</v>
      </c>
      <c r="O73" s="189">
        <f t="shared" si="29"/>
        <v>0</v>
      </c>
    </row>
    <row r="74" spans="1:15" s="57" customFormat="1" ht="29.4" customHeight="1" x14ac:dyDescent="0.25">
      <c r="A74" s="303" t="str">
        <f>'Kalk UHR GS Deisenhofen'!A74</f>
        <v>Hort</v>
      </c>
      <c r="B74" s="303" t="str">
        <f>'Kalk UHR GS Deisenhofen'!B74</f>
        <v>OG</v>
      </c>
      <c r="C74" s="303" t="str">
        <f>'Kalk UHR GS Deisenhofen'!C74</f>
        <v>1.D.42</v>
      </c>
      <c r="D74" s="303" t="str">
        <f>'Kalk UHR GS Deisenhofen'!D74</f>
        <v>WC-Mädchen</v>
      </c>
      <c r="E74" s="229"/>
      <c r="F74" s="195">
        <v>0</v>
      </c>
      <c r="G74" s="195">
        <v>12</v>
      </c>
      <c r="H74" s="186">
        <f t="shared" si="26"/>
        <v>0</v>
      </c>
      <c r="I74" s="549"/>
      <c r="J74" s="187"/>
      <c r="K74" s="188">
        <f t="shared" si="22"/>
        <v>0</v>
      </c>
      <c r="L74" s="548">
        <f t="shared" si="2"/>
        <v>0</v>
      </c>
      <c r="M74" s="189">
        <f t="shared" si="27"/>
        <v>0</v>
      </c>
      <c r="N74" s="189">
        <f t="shared" si="28"/>
        <v>0</v>
      </c>
      <c r="O74" s="189">
        <f t="shared" si="29"/>
        <v>0</v>
      </c>
    </row>
    <row r="75" spans="1:15" s="57" customFormat="1" ht="29.4" customHeight="1" x14ac:dyDescent="0.25">
      <c r="A75" s="303" t="str">
        <f>'Kalk UHR GS Deisenhofen'!A75</f>
        <v>Hort</v>
      </c>
      <c r="B75" s="303" t="str">
        <f>'Kalk UHR GS Deisenhofen'!B75</f>
        <v>OG</v>
      </c>
      <c r="C75" s="303" t="str">
        <f>'Kalk UHR GS Deisenhofen'!C75</f>
        <v>1.D.43</v>
      </c>
      <c r="D75" s="303" t="str">
        <f>'Kalk UHR GS Deisenhofen'!D75</f>
        <v>WC-Behinderte</v>
      </c>
      <c r="E75" s="229"/>
      <c r="F75" s="195">
        <v>0</v>
      </c>
      <c r="G75" s="195">
        <v>12</v>
      </c>
      <c r="H75" s="186">
        <f t="shared" si="26"/>
        <v>0</v>
      </c>
      <c r="I75" s="549"/>
      <c r="J75" s="187"/>
      <c r="K75" s="188">
        <f t="shared" si="22"/>
        <v>0</v>
      </c>
      <c r="L75" s="548">
        <f t="shared" si="2"/>
        <v>0</v>
      </c>
      <c r="M75" s="189">
        <f t="shared" si="27"/>
        <v>0</v>
      </c>
      <c r="N75" s="189">
        <f t="shared" si="28"/>
        <v>0</v>
      </c>
      <c r="O75" s="189">
        <f t="shared" si="29"/>
        <v>0</v>
      </c>
    </row>
    <row r="76" spans="1:15" s="57" customFormat="1" ht="29.4" customHeight="1" x14ac:dyDescent="0.25">
      <c r="A76" s="303" t="str">
        <f>'Kalk UHR GS Deisenhofen'!A76</f>
        <v>Hort</v>
      </c>
      <c r="B76" s="303" t="str">
        <f>'Kalk UHR GS Deisenhofen'!B76</f>
        <v>OG</v>
      </c>
      <c r="C76" s="303" t="str">
        <f>'Kalk UHR GS Deisenhofen'!C76</f>
        <v>1.D.44</v>
      </c>
      <c r="D76" s="303" t="str">
        <f>'Kalk UHR GS Deisenhofen'!D76</f>
        <v>WC-Jungen</v>
      </c>
      <c r="E76" s="229"/>
      <c r="F76" s="195">
        <v>0</v>
      </c>
      <c r="G76" s="195">
        <v>12</v>
      </c>
      <c r="H76" s="186">
        <f t="shared" si="26"/>
        <v>0</v>
      </c>
      <c r="I76" s="549"/>
      <c r="J76" s="187"/>
      <c r="K76" s="188">
        <f t="shared" ref="K76:K139" si="30">IFERROR((F76*E76/I76),0)+IFERROR((G76*E76/J76),0)</f>
        <v>0</v>
      </c>
      <c r="L76" s="548">
        <f t="shared" si="2"/>
        <v>0</v>
      </c>
      <c r="M76" s="189">
        <f t="shared" si="27"/>
        <v>0</v>
      </c>
      <c r="N76" s="189">
        <f t="shared" si="28"/>
        <v>0</v>
      </c>
      <c r="O76" s="189">
        <f t="shared" si="29"/>
        <v>0</v>
      </c>
    </row>
    <row r="77" spans="1:15" s="57" customFormat="1" ht="29.4" customHeight="1" x14ac:dyDescent="0.25">
      <c r="A77" s="303" t="str">
        <f>'Kalk UHR GS Deisenhofen'!A77</f>
        <v>Hort</v>
      </c>
      <c r="B77" s="303" t="str">
        <f>'Kalk UHR GS Deisenhofen'!B77</f>
        <v>OG</v>
      </c>
      <c r="C77" s="303" t="str">
        <f>'Kalk UHR GS Deisenhofen'!C77</f>
        <v>1.D.F.14</v>
      </c>
      <c r="D77" s="303" t="str">
        <f>'Kalk UHR GS Deisenhofen'!D77</f>
        <v>Flur</v>
      </c>
      <c r="E77" s="229"/>
      <c r="F77" s="195">
        <v>0</v>
      </c>
      <c r="G77" s="195">
        <v>12</v>
      </c>
      <c r="H77" s="186">
        <f t="shared" si="26"/>
        <v>0</v>
      </c>
      <c r="I77" s="549"/>
      <c r="J77" s="187"/>
      <c r="K77" s="188">
        <f t="shared" si="30"/>
        <v>0</v>
      </c>
      <c r="L77" s="548">
        <f t="shared" si="2"/>
        <v>0</v>
      </c>
      <c r="M77" s="189">
        <f t="shared" si="27"/>
        <v>0</v>
      </c>
      <c r="N77" s="189">
        <f t="shared" si="28"/>
        <v>0</v>
      </c>
      <c r="O77" s="189">
        <f t="shared" si="29"/>
        <v>0</v>
      </c>
    </row>
    <row r="78" spans="1:15" s="57" customFormat="1" ht="29.4" customHeight="1" x14ac:dyDescent="0.25">
      <c r="A78" s="303" t="str">
        <f>'Kalk UHR GS Deisenhofen'!A78</f>
        <v>Hort</v>
      </c>
      <c r="B78" s="303" t="str">
        <f>'Kalk UHR GS Deisenhofen'!B78</f>
        <v>OG</v>
      </c>
      <c r="C78" s="303" t="str">
        <f>'Kalk UHR GS Deisenhofen'!C78</f>
        <v>1.D.49</v>
      </c>
      <c r="D78" s="303" t="str">
        <f>'Kalk UHR GS Deisenhofen'!D78</f>
        <v>Gruppenraum</v>
      </c>
      <c r="E78" s="229"/>
      <c r="F78" s="195">
        <v>0</v>
      </c>
      <c r="G78" s="195">
        <v>12</v>
      </c>
      <c r="H78" s="186">
        <f t="shared" si="26"/>
        <v>0</v>
      </c>
      <c r="I78" s="549"/>
      <c r="J78" s="187"/>
      <c r="K78" s="188">
        <f t="shared" si="30"/>
        <v>0</v>
      </c>
      <c r="L78" s="548">
        <f t="shared" si="2"/>
        <v>0</v>
      </c>
      <c r="M78" s="189">
        <f t="shared" si="27"/>
        <v>0</v>
      </c>
      <c r="N78" s="189">
        <f t="shared" si="28"/>
        <v>0</v>
      </c>
      <c r="O78" s="189">
        <f t="shared" si="29"/>
        <v>0</v>
      </c>
    </row>
    <row r="79" spans="1:15" s="57" customFormat="1" ht="29.4" customHeight="1" x14ac:dyDescent="0.25">
      <c r="A79" s="303" t="str">
        <f>'Kalk UHR GS Deisenhofen'!A79</f>
        <v>Hort</v>
      </c>
      <c r="B79" s="303" t="str">
        <f>'Kalk UHR GS Deisenhofen'!B79</f>
        <v>OG</v>
      </c>
      <c r="C79" s="303" t="str">
        <f>'Kalk UHR GS Deisenhofen'!C79</f>
        <v>1.D.50</v>
      </c>
      <c r="D79" s="303" t="str">
        <f>'Kalk UHR GS Deisenhofen'!D79</f>
        <v>Gruppenraum</v>
      </c>
      <c r="E79" s="229"/>
      <c r="F79" s="195">
        <v>0</v>
      </c>
      <c r="G79" s="195">
        <v>12</v>
      </c>
      <c r="H79" s="186">
        <f t="shared" si="26"/>
        <v>0</v>
      </c>
      <c r="I79" s="549"/>
      <c r="J79" s="187"/>
      <c r="K79" s="188">
        <f t="shared" si="30"/>
        <v>0</v>
      </c>
      <c r="L79" s="548">
        <f t="shared" si="2"/>
        <v>0</v>
      </c>
      <c r="M79" s="189">
        <f t="shared" si="27"/>
        <v>0</v>
      </c>
      <c r="N79" s="189">
        <f t="shared" si="28"/>
        <v>0</v>
      </c>
      <c r="O79" s="189">
        <f t="shared" si="29"/>
        <v>0</v>
      </c>
    </row>
    <row r="80" spans="1:15" s="57" customFormat="1" ht="29.4" customHeight="1" x14ac:dyDescent="0.25">
      <c r="A80" s="303" t="str">
        <f>'Kalk UHR GS Deisenhofen'!A80</f>
        <v>Hort</v>
      </c>
      <c r="B80" s="303" t="str">
        <f>'Kalk UHR GS Deisenhofen'!B80</f>
        <v>OG</v>
      </c>
      <c r="C80" s="303" t="str">
        <f>'Kalk UHR GS Deisenhofen'!C80</f>
        <v>1.D.51</v>
      </c>
      <c r="D80" s="303" t="str">
        <f>'Kalk UHR GS Deisenhofen'!D80</f>
        <v>Brettspielraum</v>
      </c>
      <c r="E80" s="229"/>
      <c r="F80" s="195">
        <v>0</v>
      </c>
      <c r="G80" s="195">
        <v>12</v>
      </c>
      <c r="H80" s="186">
        <f t="shared" si="26"/>
        <v>0</v>
      </c>
      <c r="I80" s="549"/>
      <c r="J80" s="187"/>
      <c r="K80" s="188">
        <f t="shared" si="30"/>
        <v>0</v>
      </c>
      <c r="L80" s="548">
        <f t="shared" si="2"/>
        <v>0</v>
      </c>
      <c r="M80" s="189">
        <f t="shared" si="27"/>
        <v>0</v>
      </c>
      <c r="N80" s="189">
        <f t="shared" si="28"/>
        <v>0</v>
      </c>
      <c r="O80" s="189">
        <f t="shared" si="29"/>
        <v>0</v>
      </c>
    </row>
    <row r="81" spans="1:15" s="57" customFormat="1" ht="29.4" customHeight="1" x14ac:dyDescent="0.25">
      <c r="A81" s="303" t="str">
        <f>'Kalk UHR GS Deisenhofen'!A81</f>
        <v>Hort</v>
      </c>
      <c r="B81" s="303" t="str">
        <f>'Kalk UHR GS Deisenhofen'!B81</f>
        <v>OG</v>
      </c>
      <c r="C81" s="303" t="str">
        <f>'Kalk UHR GS Deisenhofen'!C81</f>
        <v>1.D.52</v>
      </c>
      <c r="D81" s="303" t="str">
        <f>'Kalk UHR GS Deisenhofen'!D81</f>
        <v>Gruppenraum</v>
      </c>
      <c r="E81" s="229"/>
      <c r="F81" s="195">
        <v>0</v>
      </c>
      <c r="G81" s="195">
        <v>12</v>
      </c>
      <c r="H81" s="186">
        <f t="shared" si="26"/>
        <v>0</v>
      </c>
      <c r="I81" s="549"/>
      <c r="J81" s="187"/>
      <c r="K81" s="188">
        <f t="shared" si="30"/>
        <v>0</v>
      </c>
      <c r="L81" s="548">
        <f t="shared" si="2"/>
        <v>0</v>
      </c>
      <c r="M81" s="189">
        <f t="shared" si="27"/>
        <v>0</v>
      </c>
      <c r="N81" s="189">
        <f t="shared" si="28"/>
        <v>0</v>
      </c>
      <c r="O81" s="189">
        <f t="shared" si="29"/>
        <v>0</v>
      </c>
    </row>
    <row r="82" spans="1:15" s="57" customFormat="1" ht="29.4" customHeight="1" x14ac:dyDescent="0.25">
      <c r="A82" s="303" t="str">
        <f>'Kalk UHR GS Deisenhofen'!A82</f>
        <v>Hort</v>
      </c>
      <c r="B82" s="303" t="str">
        <f>'Kalk UHR GS Deisenhofen'!B82</f>
        <v>OG</v>
      </c>
      <c r="C82" s="303" t="str">
        <f>'Kalk UHR GS Deisenhofen'!C82</f>
        <v>1.D.F.15</v>
      </c>
      <c r="D82" s="303" t="str">
        <f>'Kalk UHR GS Deisenhofen'!D82</f>
        <v>Flur</v>
      </c>
      <c r="E82" s="229">
        <f>1.93*2.1+1.65*2</f>
        <v>7.3529999999999998</v>
      </c>
      <c r="F82" s="195">
        <v>0</v>
      </c>
      <c r="G82" s="195">
        <v>12</v>
      </c>
      <c r="H82" s="186">
        <f t="shared" si="26"/>
        <v>88.23599999999999</v>
      </c>
      <c r="I82" s="549"/>
      <c r="J82" s="187"/>
      <c r="K82" s="188">
        <f t="shared" si="30"/>
        <v>0</v>
      </c>
      <c r="L82" s="548">
        <f t="shared" si="2"/>
        <v>0</v>
      </c>
      <c r="M82" s="189">
        <f t="shared" si="27"/>
        <v>0</v>
      </c>
      <c r="N82" s="189">
        <f t="shared" si="28"/>
        <v>0</v>
      </c>
      <c r="O82" s="189">
        <f t="shared" si="29"/>
        <v>0</v>
      </c>
    </row>
    <row r="83" spans="1:15" s="57" customFormat="1" ht="29.4" customHeight="1" x14ac:dyDescent="0.25">
      <c r="A83" s="303" t="str">
        <f>'Kalk UHR GS Deisenhofen'!A83</f>
        <v>Hort</v>
      </c>
      <c r="B83" s="303" t="str">
        <f>'Kalk UHR GS Deisenhofen'!B83</f>
        <v>OG</v>
      </c>
      <c r="C83" s="303" t="str">
        <f>'Kalk UHR GS Deisenhofen'!C83</f>
        <v>1.D.T.07</v>
      </c>
      <c r="D83" s="303" t="str">
        <f>'Kalk UHR GS Deisenhofen'!D83</f>
        <v>Treppe</v>
      </c>
      <c r="E83" s="229">
        <f>1.88*1.05</f>
        <v>1.974</v>
      </c>
      <c r="F83" s="195">
        <v>0</v>
      </c>
      <c r="G83" s="195">
        <v>12</v>
      </c>
      <c r="H83" s="186">
        <f t="shared" si="26"/>
        <v>23.687999999999999</v>
      </c>
      <c r="I83" s="549"/>
      <c r="J83" s="187"/>
      <c r="K83" s="188">
        <f t="shared" si="30"/>
        <v>0</v>
      </c>
      <c r="L83" s="548">
        <f t="shared" si="2"/>
        <v>0</v>
      </c>
      <c r="M83" s="189">
        <f t="shared" si="27"/>
        <v>0</v>
      </c>
      <c r="N83" s="189">
        <f t="shared" si="28"/>
        <v>0</v>
      </c>
      <c r="O83" s="189">
        <f t="shared" si="29"/>
        <v>0</v>
      </c>
    </row>
    <row r="84" spans="1:15" s="57" customFormat="1" ht="29.4" customHeight="1" x14ac:dyDescent="0.25">
      <c r="A84" s="303" t="str">
        <f>'Kalk UHR GS Deisenhofen'!A84</f>
        <v>Sporthalle</v>
      </c>
      <c r="B84" s="303" t="str">
        <f>'Kalk UHR GS Deisenhofen'!B84</f>
        <v>EG</v>
      </c>
      <c r="C84" s="303" t="str">
        <f>'Kalk UHR GS Deisenhofen'!C84</f>
        <v>E.A.01</v>
      </c>
      <c r="D84" s="303" t="str">
        <f>'Kalk UHR GS Deisenhofen'!D84</f>
        <v>Tribünen</v>
      </c>
      <c r="E84" s="229"/>
      <c r="F84" s="195">
        <v>0</v>
      </c>
      <c r="G84" s="195">
        <v>12</v>
      </c>
      <c r="H84" s="186">
        <f t="shared" si="26"/>
        <v>0</v>
      </c>
      <c r="I84" s="549"/>
      <c r="J84" s="187"/>
      <c r="K84" s="188">
        <f t="shared" si="30"/>
        <v>0</v>
      </c>
      <c r="L84" s="548">
        <f t="shared" si="2"/>
        <v>0</v>
      </c>
      <c r="M84" s="189">
        <f t="shared" si="27"/>
        <v>0</v>
      </c>
      <c r="N84" s="189">
        <f t="shared" si="28"/>
        <v>0</v>
      </c>
      <c r="O84" s="189">
        <f t="shared" si="29"/>
        <v>0</v>
      </c>
    </row>
    <row r="85" spans="1:15" s="57" customFormat="1" ht="24" customHeight="1" x14ac:dyDescent="0.25">
      <c r="A85" s="303" t="str">
        <f>'Kalk UHR GS Deisenhofen'!A85</f>
        <v>Sporthalle</v>
      </c>
      <c r="B85" s="303" t="str">
        <f>'Kalk UHR GS Deisenhofen'!B85</f>
        <v>EG</v>
      </c>
      <c r="C85" s="303" t="str">
        <f>'Kalk UHR GS Deisenhofen'!C85</f>
        <v>E.A.02</v>
      </c>
      <c r="D85" s="303" t="str">
        <f>'Kalk UHR GS Deisenhofen'!D85</f>
        <v>Foyer</v>
      </c>
      <c r="E85" s="229">
        <f>8.1*2.74</f>
        <v>22.193999999999999</v>
      </c>
      <c r="F85" s="195">
        <v>0</v>
      </c>
      <c r="G85" s="195">
        <v>12</v>
      </c>
      <c r="H85" s="186">
        <f t="shared" si="21"/>
        <v>266.32799999999997</v>
      </c>
      <c r="I85" s="549"/>
      <c r="J85" s="187"/>
      <c r="K85" s="188">
        <f t="shared" si="30"/>
        <v>0</v>
      </c>
      <c r="L85" s="548">
        <f t="shared" si="2"/>
        <v>0</v>
      </c>
      <c r="M85" s="189">
        <f t="shared" si="23"/>
        <v>0</v>
      </c>
      <c r="N85" s="189">
        <f t="shared" si="24"/>
        <v>0</v>
      </c>
      <c r="O85" s="189">
        <f t="shared" si="25"/>
        <v>0</v>
      </c>
    </row>
    <row r="86" spans="1:15" s="57" customFormat="1" ht="24" customHeight="1" x14ac:dyDescent="0.25">
      <c r="A86" s="303" t="str">
        <f>'Kalk UHR GS Deisenhofen'!A86</f>
        <v>Sporthalle</v>
      </c>
      <c r="B86" s="303" t="str">
        <f>'Kalk UHR GS Deisenhofen'!B86</f>
        <v>EG</v>
      </c>
      <c r="C86" s="303" t="str">
        <f>'Kalk UHR GS Deisenhofen'!C86</f>
        <v>E.A.F.01</v>
      </c>
      <c r="D86" s="303" t="str">
        <f>'Kalk UHR GS Deisenhofen'!D86</f>
        <v>Flur</v>
      </c>
      <c r="E86" s="229">
        <f>3.5*1.76</f>
        <v>6.16</v>
      </c>
      <c r="F86" s="195">
        <v>0</v>
      </c>
      <c r="G86" s="195">
        <v>12</v>
      </c>
      <c r="H86" s="186">
        <f t="shared" si="21"/>
        <v>73.92</v>
      </c>
      <c r="I86" s="549"/>
      <c r="J86" s="187"/>
      <c r="K86" s="188">
        <f t="shared" si="30"/>
        <v>0</v>
      </c>
      <c r="L86" s="548">
        <f t="shared" si="2"/>
        <v>0</v>
      </c>
      <c r="M86" s="189">
        <f t="shared" si="23"/>
        <v>0</v>
      </c>
      <c r="N86" s="189">
        <f t="shared" si="24"/>
        <v>0</v>
      </c>
      <c r="O86" s="189">
        <f t="shared" si="25"/>
        <v>0</v>
      </c>
    </row>
    <row r="87" spans="1:15" s="57" customFormat="1" ht="24" customHeight="1" x14ac:dyDescent="0.25">
      <c r="A87" s="303" t="str">
        <f>'Kalk UHR GS Deisenhofen'!A87</f>
        <v>Sporthalle</v>
      </c>
      <c r="B87" s="303" t="str">
        <f>'Kalk UHR GS Deisenhofen'!B87</f>
        <v>EG</v>
      </c>
      <c r="C87" s="303" t="str">
        <f>'Kalk UHR GS Deisenhofen'!C87</f>
        <v>E.A.F.02</v>
      </c>
      <c r="D87" s="303" t="str">
        <f>'Kalk UHR GS Deisenhofen'!D87</f>
        <v>Flur</v>
      </c>
      <c r="E87" s="229">
        <f>1.8*2.74</f>
        <v>4.9320000000000004</v>
      </c>
      <c r="F87" s="195">
        <v>0</v>
      </c>
      <c r="G87" s="195">
        <v>12</v>
      </c>
      <c r="H87" s="186">
        <f t="shared" si="21"/>
        <v>59.184000000000005</v>
      </c>
      <c r="I87" s="549"/>
      <c r="J87" s="187"/>
      <c r="K87" s="188">
        <f t="shared" si="30"/>
        <v>0</v>
      </c>
      <c r="L87" s="548">
        <f t="shared" si="2"/>
        <v>0</v>
      </c>
      <c r="M87" s="189">
        <f t="shared" si="23"/>
        <v>0</v>
      </c>
      <c r="N87" s="189">
        <f t="shared" si="24"/>
        <v>0</v>
      </c>
      <c r="O87" s="189">
        <f t="shared" si="25"/>
        <v>0</v>
      </c>
    </row>
    <row r="88" spans="1:15" s="57" customFormat="1" ht="24" customHeight="1" x14ac:dyDescent="0.25">
      <c r="A88" s="303" t="str">
        <f>'Kalk UHR GS Deisenhofen'!A88</f>
        <v>Sporthalle</v>
      </c>
      <c r="B88" s="303" t="str">
        <f>'Kalk UHR GS Deisenhofen'!B88</f>
        <v>EG</v>
      </c>
      <c r="C88" s="303" t="str">
        <f>'Kalk UHR GS Deisenhofen'!C88</f>
        <v>E.A.T.01</v>
      </c>
      <c r="D88" s="303" t="str">
        <f>'Kalk UHR GS Deisenhofen'!D88</f>
        <v>Treppe</v>
      </c>
      <c r="E88" s="229"/>
      <c r="F88" s="195">
        <v>0</v>
      </c>
      <c r="G88" s="195">
        <v>12</v>
      </c>
      <c r="H88" s="186">
        <f t="shared" si="21"/>
        <v>0</v>
      </c>
      <c r="I88" s="549"/>
      <c r="J88" s="187"/>
      <c r="K88" s="188">
        <f t="shared" si="30"/>
        <v>0</v>
      </c>
      <c r="L88" s="548">
        <f t="shared" si="2"/>
        <v>0</v>
      </c>
      <c r="M88" s="189">
        <f t="shared" si="23"/>
        <v>0</v>
      </c>
      <c r="N88" s="189">
        <f t="shared" si="24"/>
        <v>0</v>
      </c>
      <c r="O88" s="189">
        <f t="shared" si="25"/>
        <v>0</v>
      </c>
    </row>
    <row r="89" spans="1:15" s="57" customFormat="1" ht="24" customHeight="1" x14ac:dyDescent="0.25">
      <c r="A89" s="303" t="str">
        <f>'Kalk UHR GS Deisenhofen'!A89</f>
        <v>Sporthalle</v>
      </c>
      <c r="B89" s="303" t="str">
        <f>'Kalk UHR GS Deisenhofen'!B89</f>
        <v>EG</v>
      </c>
      <c r="C89" s="303" t="str">
        <f>'Kalk UHR GS Deisenhofen'!C89</f>
        <v>E.A.Z.01</v>
      </c>
      <c r="D89" s="303" t="str">
        <f>'Kalk UHR GS Deisenhofen'!D89</f>
        <v>Aufzug</v>
      </c>
      <c r="E89" s="229"/>
      <c r="F89" s="195">
        <v>0</v>
      </c>
      <c r="G89" s="195">
        <v>12</v>
      </c>
      <c r="H89" s="186">
        <f t="shared" si="21"/>
        <v>0</v>
      </c>
      <c r="I89" s="549"/>
      <c r="J89" s="187"/>
      <c r="K89" s="188">
        <f t="shared" si="30"/>
        <v>0</v>
      </c>
      <c r="L89" s="548">
        <f t="shared" si="2"/>
        <v>0</v>
      </c>
      <c r="M89" s="189">
        <f t="shared" si="23"/>
        <v>0</v>
      </c>
      <c r="N89" s="189">
        <f t="shared" si="24"/>
        <v>0</v>
      </c>
      <c r="O89" s="189">
        <f t="shared" si="25"/>
        <v>0</v>
      </c>
    </row>
    <row r="90" spans="1:15" s="57" customFormat="1" ht="32.4" customHeight="1" x14ac:dyDescent="0.25">
      <c r="A90" s="303" t="str">
        <f>'Kalk UHR GS Deisenhofen'!A90</f>
        <v>Sporthalle</v>
      </c>
      <c r="B90" s="303" t="str">
        <f>'Kalk UHR GS Deisenhofen'!B90</f>
        <v>EG</v>
      </c>
      <c r="C90" s="303" t="str">
        <f>'Kalk UHR GS Deisenhofen'!C90</f>
        <v>E.A.02a</v>
      </c>
      <c r="D90" s="303" t="str">
        <f>'Kalk UHR GS Deisenhofen'!D90</f>
        <v>Mediengeräte</v>
      </c>
      <c r="E90" s="229"/>
      <c r="F90" s="195">
        <v>0</v>
      </c>
      <c r="G90" s="195">
        <v>12</v>
      </c>
      <c r="H90" s="186">
        <f t="shared" si="21"/>
        <v>0</v>
      </c>
      <c r="I90" s="549"/>
      <c r="J90" s="187"/>
      <c r="K90" s="188">
        <f t="shared" si="30"/>
        <v>0</v>
      </c>
      <c r="L90" s="548">
        <f t="shared" si="2"/>
        <v>0</v>
      </c>
      <c r="M90" s="189">
        <f t="shared" si="23"/>
        <v>0</v>
      </c>
      <c r="N90" s="189">
        <f t="shared" si="24"/>
        <v>0</v>
      </c>
      <c r="O90" s="189">
        <f t="shared" si="25"/>
        <v>0</v>
      </c>
    </row>
    <row r="91" spans="1:15" s="57" customFormat="1" ht="26.4" customHeight="1" x14ac:dyDescent="0.25">
      <c r="A91" s="303" t="str">
        <f>'Kalk UHR GS Deisenhofen'!A91</f>
        <v>Sporthalle</v>
      </c>
      <c r="B91" s="303" t="str">
        <f>'Kalk UHR GS Deisenhofen'!B91</f>
        <v>EG</v>
      </c>
      <c r="C91" s="303" t="str">
        <f>'Kalk UHR GS Deisenhofen'!C91</f>
        <v>E.A.03a</v>
      </c>
      <c r="D91" s="303" t="str">
        <f>'Kalk UHR GS Deisenhofen'!D91</f>
        <v>Lager</v>
      </c>
      <c r="E91" s="229"/>
      <c r="F91" s="195">
        <v>0</v>
      </c>
      <c r="G91" s="195">
        <v>12</v>
      </c>
      <c r="H91" s="186">
        <f t="shared" si="21"/>
        <v>0</v>
      </c>
      <c r="I91" s="549"/>
      <c r="J91" s="187"/>
      <c r="K91" s="188">
        <f t="shared" si="30"/>
        <v>0</v>
      </c>
      <c r="L91" s="548">
        <f t="shared" si="2"/>
        <v>0</v>
      </c>
      <c r="M91" s="189">
        <f t="shared" si="23"/>
        <v>0</v>
      </c>
      <c r="N91" s="189">
        <f t="shared" si="24"/>
        <v>0</v>
      </c>
      <c r="O91" s="189">
        <f t="shared" si="25"/>
        <v>0</v>
      </c>
    </row>
    <row r="92" spans="1:15" s="57" customFormat="1" ht="27" customHeight="1" x14ac:dyDescent="0.25">
      <c r="A92" s="303" t="str">
        <f>'Kalk UHR GS Deisenhofen'!A92</f>
        <v>Sporthalle</v>
      </c>
      <c r="B92" s="303" t="str">
        <f>'Kalk UHR GS Deisenhofen'!B92</f>
        <v>EG</v>
      </c>
      <c r="C92" s="303" t="str">
        <f>'Kalk UHR GS Deisenhofen'!C92</f>
        <v>E.A.02b</v>
      </c>
      <c r="D92" s="303" t="str">
        <f>'Kalk UHR GS Deisenhofen'!D92</f>
        <v>Catering</v>
      </c>
      <c r="E92" s="229"/>
      <c r="F92" s="195">
        <v>0</v>
      </c>
      <c r="G92" s="195">
        <v>12</v>
      </c>
      <c r="H92" s="186">
        <f t="shared" si="21"/>
        <v>0</v>
      </c>
      <c r="I92" s="549"/>
      <c r="J92" s="187"/>
      <c r="K92" s="188">
        <f t="shared" si="30"/>
        <v>0</v>
      </c>
      <c r="L92" s="548">
        <f t="shared" si="2"/>
        <v>0</v>
      </c>
      <c r="M92" s="189">
        <f t="shared" si="23"/>
        <v>0</v>
      </c>
      <c r="N92" s="189">
        <f t="shared" si="24"/>
        <v>0</v>
      </c>
      <c r="O92" s="189">
        <f t="shared" si="25"/>
        <v>0</v>
      </c>
    </row>
    <row r="93" spans="1:15" s="57" customFormat="1" ht="24" customHeight="1" x14ac:dyDescent="0.25">
      <c r="A93" s="303" t="str">
        <f>'Kalk UHR GS Deisenhofen'!A93</f>
        <v>Sporthalle</v>
      </c>
      <c r="B93" s="303" t="str">
        <f>'Kalk UHR GS Deisenhofen'!B93</f>
        <v>EG</v>
      </c>
      <c r="C93" s="303" t="str">
        <f>'Kalk UHR GS Deisenhofen'!C93</f>
        <v>E.A.02c</v>
      </c>
      <c r="D93" s="303" t="str">
        <f>'Kalk UHR GS Deisenhofen'!D93</f>
        <v>Technik</v>
      </c>
      <c r="E93" s="229"/>
      <c r="F93" s="195">
        <v>0</v>
      </c>
      <c r="G93" s="195">
        <v>12</v>
      </c>
      <c r="H93" s="186">
        <f t="shared" si="21"/>
        <v>0</v>
      </c>
      <c r="I93" s="549"/>
      <c r="J93" s="187"/>
      <c r="K93" s="188">
        <f t="shared" si="30"/>
        <v>0</v>
      </c>
      <c r="L93" s="548">
        <f t="shared" si="2"/>
        <v>0</v>
      </c>
      <c r="M93" s="189">
        <f t="shared" si="23"/>
        <v>0</v>
      </c>
      <c r="N93" s="189">
        <f t="shared" si="24"/>
        <v>0</v>
      </c>
      <c r="O93" s="189">
        <f t="shared" si="25"/>
        <v>0</v>
      </c>
    </row>
    <row r="94" spans="1:15" s="57" customFormat="1" ht="24.6" customHeight="1" x14ac:dyDescent="0.25">
      <c r="A94" s="303" t="str">
        <f>'Kalk UHR GS Deisenhofen'!A94</f>
        <v>Sporthalle</v>
      </c>
      <c r="B94" s="303" t="str">
        <f>'Kalk UHR GS Deisenhofen'!B94</f>
        <v>EG</v>
      </c>
      <c r="C94" s="303" t="str">
        <f>'Kalk UHR GS Deisenhofen'!C94</f>
        <v>E.B.03</v>
      </c>
      <c r="D94" s="303" t="str">
        <f>'Kalk UHR GS Deisenhofen'!D94</f>
        <v>Mehrzweckhalle</v>
      </c>
      <c r="E94" s="229"/>
      <c r="F94" s="195">
        <v>0</v>
      </c>
      <c r="G94" s="195">
        <v>12</v>
      </c>
      <c r="H94" s="186">
        <f t="shared" si="21"/>
        <v>0</v>
      </c>
      <c r="I94" s="549"/>
      <c r="J94" s="187"/>
      <c r="K94" s="188">
        <f t="shared" si="30"/>
        <v>0</v>
      </c>
      <c r="L94" s="548">
        <f t="shared" si="2"/>
        <v>0</v>
      </c>
      <c r="M94" s="189">
        <f t="shared" si="23"/>
        <v>0</v>
      </c>
      <c r="N94" s="189">
        <f t="shared" si="24"/>
        <v>0</v>
      </c>
      <c r="O94" s="189">
        <f t="shared" si="25"/>
        <v>0</v>
      </c>
    </row>
    <row r="95" spans="1:15" s="57" customFormat="1" ht="24" customHeight="1" x14ac:dyDescent="0.25">
      <c r="A95" s="303" t="str">
        <f>'Kalk UHR GS Deisenhofen'!A95</f>
        <v>Sporthalle</v>
      </c>
      <c r="B95" s="303" t="str">
        <f>'Kalk UHR GS Deisenhofen'!B95</f>
        <v>EG</v>
      </c>
      <c r="C95" s="303" t="str">
        <f>'Kalk UHR GS Deisenhofen'!C95</f>
        <v>E.C.01a</v>
      </c>
      <c r="D95" s="303" t="str">
        <f>'Kalk UHR GS Deisenhofen'!D95</f>
        <v>Lager</v>
      </c>
      <c r="E95" s="229"/>
      <c r="F95" s="195">
        <v>0</v>
      </c>
      <c r="G95" s="195">
        <v>12</v>
      </c>
      <c r="H95" s="186">
        <f t="shared" si="21"/>
        <v>0</v>
      </c>
      <c r="I95" s="549"/>
      <c r="J95" s="187"/>
      <c r="K95" s="188">
        <f t="shared" si="30"/>
        <v>0</v>
      </c>
      <c r="L95" s="548">
        <f t="shared" si="2"/>
        <v>0</v>
      </c>
      <c r="M95" s="189">
        <f t="shared" si="23"/>
        <v>0</v>
      </c>
      <c r="N95" s="189">
        <f t="shared" si="24"/>
        <v>0</v>
      </c>
      <c r="O95" s="189">
        <f t="shared" si="25"/>
        <v>0</v>
      </c>
    </row>
    <row r="96" spans="1:15" s="57" customFormat="1" ht="24" customHeight="1" x14ac:dyDescent="0.25">
      <c r="A96" s="303" t="str">
        <f>'Kalk UHR GS Deisenhofen'!A96</f>
        <v>Sporthalle</v>
      </c>
      <c r="B96" s="303" t="str">
        <f>'Kalk UHR GS Deisenhofen'!B96</f>
        <v>EG</v>
      </c>
      <c r="C96" s="303">
        <f>'Kalk UHR GS Deisenhofen'!C96</f>
        <v>0</v>
      </c>
      <c r="D96" s="303" t="str">
        <f>'Kalk UHR GS Deisenhofen'!D96</f>
        <v>HLS</v>
      </c>
      <c r="E96" s="229"/>
      <c r="F96" s="195">
        <v>0</v>
      </c>
      <c r="G96" s="195">
        <v>12</v>
      </c>
      <c r="H96" s="186">
        <f t="shared" si="21"/>
        <v>0</v>
      </c>
      <c r="I96" s="549"/>
      <c r="J96" s="187"/>
      <c r="K96" s="188">
        <f t="shared" si="30"/>
        <v>0</v>
      </c>
      <c r="L96" s="548">
        <f t="shared" si="2"/>
        <v>0</v>
      </c>
      <c r="M96" s="189">
        <f t="shared" si="23"/>
        <v>0</v>
      </c>
      <c r="N96" s="189">
        <f t="shared" si="24"/>
        <v>0</v>
      </c>
      <c r="O96" s="189">
        <f t="shared" si="25"/>
        <v>0</v>
      </c>
    </row>
    <row r="97" spans="1:15" s="57" customFormat="1" ht="24" customHeight="1" x14ac:dyDescent="0.25">
      <c r="A97" s="303" t="str">
        <f>'Kalk UHR GS Deisenhofen'!A97</f>
        <v>Schule</v>
      </c>
      <c r="B97" s="303" t="str">
        <f>'Kalk UHR GS Deisenhofen'!B97</f>
        <v>EG</v>
      </c>
      <c r="C97" s="303" t="str">
        <f>'Kalk UHR GS Deisenhofen'!C97</f>
        <v>E.C.T.02</v>
      </c>
      <c r="D97" s="303" t="str">
        <f>'Kalk UHR GS Deisenhofen'!D97</f>
        <v>Treppe</v>
      </c>
      <c r="E97" s="229"/>
      <c r="F97" s="195">
        <v>0</v>
      </c>
      <c r="G97" s="195">
        <v>12</v>
      </c>
      <c r="H97" s="186">
        <f t="shared" si="21"/>
        <v>0</v>
      </c>
      <c r="I97" s="549"/>
      <c r="J97" s="187"/>
      <c r="K97" s="188">
        <f t="shared" si="30"/>
        <v>0</v>
      </c>
      <c r="L97" s="548">
        <f t="shared" si="2"/>
        <v>0</v>
      </c>
      <c r="M97" s="189">
        <f t="shared" si="23"/>
        <v>0</v>
      </c>
      <c r="N97" s="189">
        <f t="shared" si="24"/>
        <v>0</v>
      </c>
      <c r="O97" s="189">
        <f t="shared" si="25"/>
        <v>0</v>
      </c>
    </row>
    <row r="98" spans="1:15" s="57" customFormat="1" ht="24" customHeight="1" x14ac:dyDescent="0.25">
      <c r="A98" s="303" t="str">
        <f>'Kalk UHR GS Deisenhofen'!A98</f>
        <v>Schule</v>
      </c>
      <c r="B98" s="303" t="str">
        <f>'Kalk UHR GS Deisenhofen'!B98</f>
        <v>EG</v>
      </c>
      <c r="C98" s="303" t="str">
        <f>'Kalk UHR GS Deisenhofen'!C98</f>
        <v>E.C.04</v>
      </c>
      <c r="D98" s="303" t="str">
        <f>'Kalk UHR GS Deisenhofen'!D98</f>
        <v>Garderobe</v>
      </c>
      <c r="E98" s="229"/>
      <c r="F98" s="195">
        <v>0</v>
      </c>
      <c r="G98" s="195">
        <v>12</v>
      </c>
      <c r="H98" s="186">
        <f t="shared" si="21"/>
        <v>0</v>
      </c>
      <c r="I98" s="549"/>
      <c r="J98" s="187"/>
      <c r="K98" s="188">
        <f t="shared" si="30"/>
        <v>0</v>
      </c>
      <c r="L98" s="548">
        <f t="shared" si="2"/>
        <v>0</v>
      </c>
      <c r="M98" s="189">
        <f t="shared" si="23"/>
        <v>0</v>
      </c>
      <c r="N98" s="189">
        <f t="shared" si="24"/>
        <v>0</v>
      </c>
      <c r="O98" s="189">
        <f t="shared" si="25"/>
        <v>0</v>
      </c>
    </row>
    <row r="99" spans="1:15" s="57" customFormat="1" ht="24" customHeight="1" x14ac:dyDescent="0.25">
      <c r="A99" s="303" t="str">
        <f>'Kalk UHR GS Deisenhofen'!A99</f>
        <v>Schule</v>
      </c>
      <c r="B99" s="303" t="str">
        <f>'Kalk UHR GS Deisenhofen'!B99</f>
        <v>EG</v>
      </c>
      <c r="C99" s="303" t="str">
        <f>'Kalk UHR GS Deisenhofen'!C99</f>
        <v>E.C.05</v>
      </c>
      <c r="D99" s="303" t="str">
        <f>'Kalk UHR GS Deisenhofen'!D99</f>
        <v>Klassenraum 1</v>
      </c>
      <c r="E99" s="229"/>
      <c r="F99" s="195">
        <v>0</v>
      </c>
      <c r="G99" s="195">
        <v>12</v>
      </c>
      <c r="H99" s="186">
        <f t="shared" si="21"/>
        <v>0</v>
      </c>
      <c r="I99" s="549"/>
      <c r="J99" s="187"/>
      <c r="K99" s="188">
        <f t="shared" si="30"/>
        <v>0</v>
      </c>
      <c r="L99" s="548">
        <f t="shared" si="2"/>
        <v>0</v>
      </c>
      <c r="M99" s="189">
        <f t="shared" si="23"/>
        <v>0</v>
      </c>
      <c r="N99" s="189">
        <f t="shared" si="24"/>
        <v>0</v>
      </c>
      <c r="O99" s="189">
        <f t="shared" si="25"/>
        <v>0</v>
      </c>
    </row>
    <row r="100" spans="1:15" s="57" customFormat="1" ht="24" customHeight="1" x14ac:dyDescent="0.25">
      <c r="A100" s="303" t="str">
        <f>'Kalk UHR GS Deisenhofen'!A100</f>
        <v>Schule</v>
      </c>
      <c r="B100" s="303" t="str">
        <f>'Kalk UHR GS Deisenhofen'!B100</f>
        <v>EG</v>
      </c>
      <c r="C100" s="303" t="str">
        <f>'Kalk UHR GS Deisenhofen'!C100</f>
        <v>E.C.06</v>
      </c>
      <c r="D100" s="303" t="str">
        <f>'Kalk UHR GS Deisenhofen'!D100</f>
        <v>Gruppenraum</v>
      </c>
      <c r="E100" s="229"/>
      <c r="F100" s="195">
        <v>0</v>
      </c>
      <c r="G100" s="195">
        <v>12</v>
      </c>
      <c r="H100" s="186">
        <f t="shared" si="21"/>
        <v>0</v>
      </c>
      <c r="I100" s="549"/>
      <c r="J100" s="187"/>
      <c r="K100" s="188">
        <f t="shared" si="30"/>
        <v>0</v>
      </c>
      <c r="L100" s="548">
        <f t="shared" si="2"/>
        <v>0</v>
      </c>
      <c r="M100" s="189">
        <f t="shared" si="23"/>
        <v>0</v>
      </c>
      <c r="N100" s="189">
        <f t="shared" si="24"/>
        <v>0</v>
      </c>
      <c r="O100" s="189">
        <f t="shared" si="25"/>
        <v>0</v>
      </c>
    </row>
    <row r="101" spans="1:15" s="57" customFormat="1" ht="24" customHeight="1" x14ac:dyDescent="0.25">
      <c r="A101" s="303" t="str">
        <f>'Kalk UHR GS Deisenhofen'!A101</f>
        <v>Schule</v>
      </c>
      <c r="B101" s="303" t="str">
        <f>'Kalk UHR GS Deisenhofen'!B101</f>
        <v>EG</v>
      </c>
      <c r="C101" s="303" t="str">
        <f>'Kalk UHR GS Deisenhofen'!C101</f>
        <v>E.C.07</v>
      </c>
      <c r="D101" s="303" t="str">
        <f>'Kalk UHR GS Deisenhofen'!D101</f>
        <v>Klassenraum 2</v>
      </c>
      <c r="E101" s="229"/>
      <c r="F101" s="195">
        <v>0</v>
      </c>
      <c r="G101" s="195">
        <v>12</v>
      </c>
      <c r="H101" s="186">
        <f t="shared" si="21"/>
        <v>0</v>
      </c>
      <c r="I101" s="549"/>
      <c r="J101" s="187"/>
      <c r="K101" s="188">
        <f t="shared" si="30"/>
        <v>0</v>
      </c>
      <c r="L101" s="548">
        <f t="shared" si="2"/>
        <v>0</v>
      </c>
      <c r="M101" s="189">
        <f t="shared" si="23"/>
        <v>0</v>
      </c>
      <c r="N101" s="189">
        <f t="shared" si="24"/>
        <v>0</v>
      </c>
      <c r="O101" s="189">
        <f t="shared" si="25"/>
        <v>0</v>
      </c>
    </row>
    <row r="102" spans="1:15" s="57" customFormat="1" ht="24" customHeight="1" x14ac:dyDescent="0.25">
      <c r="A102" s="303" t="str">
        <f>'Kalk UHR GS Deisenhofen'!A102</f>
        <v>Schule</v>
      </c>
      <c r="B102" s="303" t="str">
        <f>'Kalk UHR GS Deisenhofen'!B102</f>
        <v>EG</v>
      </c>
      <c r="C102" s="303" t="str">
        <f>'Kalk UHR GS Deisenhofen'!C102</f>
        <v>E.C.08</v>
      </c>
      <c r="D102" s="303" t="str">
        <f>'Kalk UHR GS Deisenhofen'!D102</f>
        <v>Garderobe</v>
      </c>
      <c r="E102" s="229"/>
      <c r="F102" s="195">
        <v>0</v>
      </c>
      <c r="G102" s="195">
        <v>12</v>
      </c>
      <c r="H102" s="186">
        <f t="shared" si="21"/>
        <v>0</v>
      </c>
      <c r="I102" s="549"/>
      <c r="J102" s="187"/>
      <c r="K102" s="188">
        <f t="shared" si="30"/>
        <v>0</v>
      </c>
      <c r="L102" s="548">
        <f t="shared" si="2"/>
        <v>0</v>
      </c>
      <c r="M102" s="189">
        <f t="shared" si="23"/>
        <v>0</v>
      </c>
      <c r="N102" s="189">
        <f t="shared" si="24"/>
        <v>0</v>
      </c>
      <c r="O102" s="189">
        <f t="shared" si="25"/>
        <v>0</v>
      </c>
    </row>
    <row r="103" spans="1:15" s="57" customFormat="1" ht="29.4" customHeight="1" x14ac:dyDescent="0.25">
      <c r="A103" s="303" t="str">
        <f>'Kalk UHR GS Deisenhofen'!A103</f>
        <v>Schule</v>
      </c>
      <c r="B103" s="303" t="str">
        <f>'Kalk UHR GS Deisenhofen'!B103</f>
        <v>EG</v>
      </c>
      <c r="C103" s="303" t="str">
        <f>'Kalk UHR GS Deisenhofen'!C103</f>
        <v>E.C.F.03</v>
      </c>
      <c r="D103" s="303" t="str">
        <f>'Kalk UHR GS Deisenhofen'!D103</f>
        <v>Flur</v>
      </c>
      <c r="E103" s="229">
        <f>4.54*0.66+3.25*2.7</f>
        <v>11.7714</v>
      </c>
      <c r="F103" s="195">
        <v>0</v>
      </c>
      <c r="G103" s="195">
        <v>12</v>
      </c>
      <c r="H103" s="186">
        <f t="shared" si="21"/>
        <v>141.2568</v>
      </c>
      <c r="I103" s="549"/>
      <c r="J103" s="187"/>
      <c r="K103" s="188">
        <f t="shared" si="30"/>
        <v>0</v>
      </c>
      <c r="L103" s="548">
        <f t="shared" si="2"/>
        <v>0</v>
      </c>
      <c r="M103" s="189">
        <f t="shared" si="23"/>
        <v>0</v>
      </c>
      <c r="N103" s="189">
        <f t="shared" si="24"/>
        <v>0</v>
      </c>
      <c r="O103" s="189">
        <f t="shared" si="25"/>
        <v>0</v>
      </c>
    </row>
    <row r="104" spans="1:15" s="57" customFormat="1" ht="29.4" customHeight="1" x14ac:dyDescent="0.25">
      <c r="A104" s="303" t="str">
        <f>'Kalk UHR GS Deisenhofen'!A104</f>
        <v>Schule</v>
      </c>
      <c r="B104" s="303" t="str">
        <f>'Kalk UHR GS Deisenhofen'!B104</f>
        <v>EG</v>
      </c>
      <c r="C104" s="303" t="str">
        <f>'Kalk UHR GS Deisenhofen'!C104</f>
        <v>E.C.09</v>
      </c>
      <c r="D104" s="303" t="str">
        <f>'Kalk UHR GS Deisenhofen'!D104</f>
        <v>Garderobe</v>
      </c>
      <c r="E104" s="229"/>
      <c r="F104" s="195">
        <v>0</v>
      </c>
      <c r="G104" s="195">
        <v>12</v>
      </c>
      <c r="H104" s="186">
        <f t="shared" si="21"/>
        <v>0</v>
      </c>
      <c r="I104" s="549"/>
      <c r="J104" s="187"/>
      <c r="K104" s="188">
        <f t="shared" si="30"/>
        <v>0</v>
      </c>
      <c r="L104" s="548">
        <f t="shared" si="2"/>
        <v>0</v>
      </c>
      <c r="M104" s="189">
        <f t="shared" si="23"/>
        <v>0</v>
      </c>
      <c r="N104" s="189">
        <f t="shared" si="24"/>
        <v>0</v>
      </c>
      <c r="O104" s="189">
        <f t="shared" si="25"/>
        <v>0</v>
      </c>
    </row>
    <row r="105" spans="1:15" s="57" customFormat="1" ht="29.4" customHeight="1" x14ac:dyDescent="0.25">
      <c r="A105" s="303" t="str">
        <f>'Kalk UHR GS Deisenhofen'!A105</f>
        <v>Schule</v>
      </c>
      <c r="B105" s="303" t="str">
        <f>'Kalk UHR GS Deisenhofen'!B105</f>
        <v>EG</v>
      </c>
      <c r="C105" s="303" t="str">
        <f>'Kalk UHR GS Deisenhofen'!C105</f>
        <v>E.C.10</v>
      </c>
      <c r="D105" s="303" t="str">
        <f>'Kalk UHR GS Deisenhofen'!D105</f>
        <v>Klassenraum 3</v>
      </c>
      <c r="E105" s="229"/>
      <c r="F105" s="195">
        <v>0</v>
      </c>
      <c r="G105" s="195">
        <v>12</v>
      </c>
      <c r="H105" s="186">
        <f t="shared" si="21"/>
        <v>0</v>
      </c>
      <c r="I105" s="549"/>
      <c r="J105" s="187"/>
      <c r="K105" s="188">
        <f t="shared" si="30"/>
        <v>0</v>
      </c>
      <c r="L105" s="548">
        <f t="shared" si="2"/>
        <v>0</v>
      </c>
      <c r="M105" s="189">
        <f t="shared" si="23"/>
        <v>0</v>
      </c>
      <c r="N105" s="189">
        <f t="shared" si="24"/>
        <v>0</v>
      </c>
      <c r="O105" s="189">
        <f t="shared" si="25"/>
        <v>0</v>
      </c>
    </row>
    <row r="106" spans="1:15" s="57" customFormat="1" ht="29.4" customHeight="1" x14ac:dyDescent="0.25">
      <c r="A106" s="303" t="str">
        <f>'Kalk UHR GS Deisenhofen'!A106</f>
        <v>Schule</v>
      </c>
      <c r="B106" s="303" t="str">
        <f>'Kalk UHR GS Deisenhofen'!B106</f>
        <v>EG</v>
      </c>
      <c r="C106" s="303" t="str">
        <f>'Kalk UHR GS Deisenhofen'!C106</f>
        <v>E.C.11</v>
      </c>
      <c r="D106" s="303" t="str">
        <f>'Kalk UHR GS Deisenhofen'!D106</f>
        <v>Gruppenraum</v>
      </c>
      <c r="E106" s="229"/>
      <c r="F106" s="195">
        <v>0</v>
      </c>
      <c r="G106" s="195">
        <v>12</v>
      </c>
      <c r="H106" s="186">
        <f t="shared" si="21"/>
        <v>0</v>
      </c>
      <c r="I106" s="549"/>
      <c r="J106" s="187"/>
      <c r="K106" s="188">
        <f t="shared" si="30"/>
        <v>0</v>
      </c>
      <c r="L106" s="548">
        <f t="shared" si="2"/>
        <v>0</v>
      </c>
      <c r="M106" s="189">
        <f t="shared" si="23"/>
        <v>0</v>
      </c>
      <c r="N106" s="189">
        <f t="shared" si="24"/>
        <v>0</v>
      </c>
      <c r="O106" s="189">
        <f t="shared" si="25"/>
        <v>0</v>
      </c>
    </row>
    <row r="107" spans="1:15" s="57" customFormat="1" ht="29.4" customHeight="1" x14ac:dyDescent="0.25">
      <c r="A107" s="303" t="str">
        <f>'Kalk UHR GS Deisenhofen'!A107</f>
        <v>Schule</v>
      </c>
      <c r="B107" s="303" t="str">
        <f>'Kalk UHR GS Deisenhofen'!B107</f>
        <v>EG</v>
      </c>
      <c r="C107" s="303" t="str">
        <f>'Kalk UHR GS Deisenhofen'!C107</f>
        <v>E.C.12</v>
      </c>
      <c r="D107" s="303" t="str">
        <f>'Kalk UHR GS Deisenhofen'!D107</f>
        <v>Klassenraum 4</v>
      </c>
      <c r="E107" s="229"/>
      <c r="F107" s="195">
        <v>0</v>
      </c>
      <c r="G107" s="195">
        <v>12</v>
      </c>
      <c r="H107" s="186">
        <f t="shared" si="21"/>
        <v>0</v>
      </c>
      <c r="I107" s="549"/>
      <c r="J107" s="187"/>
      <c r="K107" s="188">
        <f t="shared" si="30"/>
        <v>0</v>
      </c>
      <c r="L107" s="548">
        <f t="shared" si="2"/>
        <v>0</v>
      </c>
      <c r="M107" s="189">
        <f t="shared" si="23"/>
        <v>0</v>
      </c>
      <c r="N107" s="189">
        <f t="shared" si="24"/>
        <v>0</v>
      </c>
      <c r="O107" s="189">
        <f t="shared" si="25"/>
        <v>0</v>
      </c>
    </row>
    <row r="108" spans="1:15" s="57" customFormat="1" ht="29.4" customHeight="1" x14ac:dyDescent="0.25">
      <c r="A108" s="303" t="str">
        <f>'Kalk UHR GS Deisenhofen'!A108</f>
        <v>Schule</v>
      </c>
      <c r="B108" s="303" t="str">
        <f>'Kalk UHR GS Deisenhofen'!B108</f>
        <v>EG</v>
      </c>
      <c r="C108" s="303" t="str">
        <f>'Kalk UHR GS Deisenhofen'!C108</f>
        <v>E.C.13</v>
      </c>
      <c r="D108" s="303" t="str">
        <f>'Kalk UHR GS Deisenhofen'!D108</f>
        <v>Garderobe</v>
      </c>
      <c r="E108" s="229"/>
      <c r="F108" s="195">
        <v>0</v>
      </c>
      <c r="G108" s="195">
        <v>12</v>
      </c>
      <c r="H108" s="186">
        <f t="shared" si="21"/>
        <v>0</v>
      </c>
      <c r="I108" s="549"/>
      <c r="J108" s="187"/>
      <c r="K108" s="188">
        <f t="shared" si="30"/>
        <v>0</v>
      </c>
      <c r="L108" s="548">
        <f t="shared" si="2"/>
        <v>0</v>
      </c>
      <c r="M108" s="189">
        <f t="shared" si="23"/>
        <v>0</v>
      </c>
      <c r="N108" s="189">
        <f t="shared" si="24"/>
        <v>0</v>
      </c>
      <c r="O108" s="189">
        <f t="shared" si="25"/>
        <v>0</v>
      </c>
    </row>
    <row r="109" spans="1:15" s="57" customFormat="1" ht="29.4" customHeight="1" x14ac:dyDescent="0.25">
      <c r="A109" s="303" t="str">
        <f>'Kalk UHR GS Deisenhofen'!A109</f>
        <v>Schule</v>
      </c>
      <c r="B109" s="303" t="str">
        <f>'Kalk UHR GS Deisenhofen'!B109</f>
        <v>EG</v>
      </c>
      <c r="C109" s="303" t="str">
        <f>'Kalk UHR GS Deisenhofen'!C109</f>
        <v>E.C.F.04</v>
      </c>
      <c r="D109" s="303" t="str">
        <f>'Kalk UHR GS Deisenhofen'!D109</f>
        <v>Flur</v>
      </c>
      <c r="E109" s="229">
        <f>4.53*0.66+4.53*0.66+3.25*2.7</f>
        <v>14.7546</v>
      </c>
      <c r="F109" s="195">
        <v>0</v>
      </c>
      <c r="G109" s="195">
        <v>12</v>
      </c>
      <c r="H109" s="186">
        <f t="shared" si="21"/>
        <v>177.05520000000001</v>
      </c>
      <c r="I109" s="549"/>
      <c r="J109" s="187"/>
      <c r="K109" s="188">
        <f t="shared" si="30"/>
        <v>0</v>
      </c>
      <c r="L109" s="548">
        <f t="shared" si="2"/>
        <v>0</v>
      </c>
      <c r="M109" s="189">
        <f t="shared" si="23"/>
        <v>0</v>
      </c>
      <c r="N109" s="189">
        <f t="shared" si="24"/>
        <v>0</v>
      </c>
      <c r="O109" s="189">
        <f t="shared" si="25"/>
        <v>0</v>
      </c>
    </row>
    <row r="110" spans="1:15" s="57" customFormat="1" ht="29.4" customHeight="1" x14ac:dyDescent="0.25">
      <c r="A110" s="303" t="str">
        <f>'Kalk UHR GS Deisenhofen'!A110</f>
        <v>Schule</v>
      </c>
      <c r="B110" s="303" t="str">
        <f>'Kalk UHR GS Deisenhofen'!B110</f>
        <v>EG</v>
      </c>
      <c r="C110" s="303" t="str">
        <f>'Kalk UHR GS Deisenhofen'!C110</f>
        <v>E.C.14</v>
      </c>
      <c r="D110" s="303" t="str">
        <f>'Kalk UHR GS Deisenhofen'!D110</f>
        <v>ELT</v>
      </c>
      <c r="E110" s="229"/>
      <c r="F110" s="195">
        <v>0</v>
      </c>
      <c r="G110" s="195">
        <v>12</v>
      </c>
      <c r="H110" s="186">
        <f t="shared" si="21"/>
        <v>0</v>
      </c>
      <c r="I110" s="549"/>
      <c r="J110" s="187"/>
      <c r="K110" s="188">
        <f t="shared" si="30"/>
        <v>0</v>
      </c>
      <c r="L110" s="548">
        <f t="shared" si="2"/>
        <v>0</v>
      </c>
      <c r="M110" s="189">
        <f t="shared" si="23"/>
        <v>0</v>
      </c>
      <c r="N110" s="189">
        <f t="shared" si="24"/>
        <v>0</v>
      </c>
      <c r="O110" s="189">
        <f t="shared" si="25"/>
        <v>0</v>
      </c>
    </row>
    <row r="111" spans="1:15" s="57" customFormat="1" ht="29.4" customHeight="1" x14ac:dyDescent="0.25">
      <c r="A111" s="303" t="str">
        <f>'Kalk UHR GS Deisenhofen'!A111</f>
        <v>Schule</v>
      </c>
      <c r="B111" s="303" t="str">
        <f>'Kalk UHR GS Deisenhofen'!B111</f>
        <v>EG</v>
      </c>
      <c r="C111" s="303" t="str">
        <f>'Kalk UHR GS Deisenhofen'!C111</f>
        <v>E.C.15</v>
      </c>
      <c r="D111" s="303" t="str">
        <f>'Kalk UHR GS Deisenhofen'!D111</f>
        <v>Lehrmittel</v>
      </c>
      <c r="E111" s="229"/>
      <c r="F111" s="195">
        <v>0</v>
      </c>
      <c r="G111" s="195">
        <v>12</v>
      </c>
      <c r="H111" s="186">
        <f t="shared" si="21"/>
        <v>0</v>
      </c>
      <c r="I111" s="549"/>
      <c r="J111" s="187"/>
      <c r="K111" s="188">
        <f t="shared" si="30"/>
        <v>0</v>
      </c>
      <c r="L111" s="548">
        <f t="shared" si="2"/>
        <v>0</v>
      </c>
      <c r="M111" s="189">
        <f t="shared" si="23"/>
        <v>0</v>
      </c>
      <c r="N111" s="189">
        <f t="shared" si="24"/>
        <v>0</v>
      </c>
      <c r="O111" s="189">
        <f t="shared" si="25"/>
        <v>0</v>
      </c>
    </row>
    <row r="112" spans="1:15" s="57" customFormat="1" ht="29.4" customHeight="1" x14ac:dyDescent="0.25">
      <c r="A112" s="303" t="str">
        <f>'Kalk UHR GS Deisenhofen'!A112</f>
        <v>Schule</v>
      </c>
      <c r="B112" s="303" t="str">
        <f>'Kalk UHR GS Deisenhofen'!B112</f>
        <v>EG</v>
      </c>
      <c r="C112" s="303" t="str">
        <f>'Kalk UHR GS Deisenhofen'!C112</f>
        <v>E.C.16</v>
      </c>
      <c r="D112" s="303" t="str">
        <f>'Kalk UHR GS Deisenhofen'!D112</f>
        <v>WC-Lehrer</v>
      </c>
      <c r="E112" s="229"/>
      <c r="F112" s="195">
        <v>0</v>
      </c>
      <c r="G112" s="195">
        <v>12</v>
      </c>
      <c r="H112" s="186">
        <f t="shared" si="21"/>
        <v>0</v>
      </c>
      <c r="I112" s="549"/>
      <c r="J112" s="187"/>
      <c r="K112" s="188">
        <f t="shared" si="30"/>
        <v>0</v>
      </c>
      <c r="L112" s="548">
        <f t="shared" si="2"/>
        <v>0</v>
      </c>
      <c r="M112" s="189">
        <f t="shared" si="23"/>
        <v>0</v>
      </c>
      <c r="N112" s="189">
        <f t="shared" si="24"/>
        <v>0</v>
      </c>
      <c r="O112" s="189">
        <f t="shared" si="25"/>
        <v>0</v>
      </c>
    </row>
    <row r="113" spans="1:15" s="57" customFormat="1" ht="29.4" customHeight="1" x14ac:dyDescent="0.25">
      <c r="A113" s="303" t="str">
        <f>'Kalk UHR GS Deisenhofen'!A113</f>
        <v>Schule</v>
      </c>
      <c r="B113" s="303" t="str">
        <f>'Kalk UHR GS Deisenhofen'!B113</f>
        <v>EG</v>
      </c>
      <c r="C113" s="303" t="str">
        <f>'Kalk UHR GS Deisenhofen'!C113</f>
        <v>E.C.17</v>
      </c>
      <c r="D113" s="303" t="str">
        <f>'Kalk UHR GS Deisenhofen'!D113</f>
        <v>WC-Mädchen</v>
      </c>
      <c r="E113" s="229"/>
      <c r="F113" s="195">
        <v>0</v>
      </c>
      <c r="G113" s="195">
        <v>12</v>
      </c>
      <c r="H113" s="186">
        <f t="shared" si="21"/>
        <v>0</v>
      </c>
      <c r="I113" s="549"/>
      <c r="J113" s="187"/>
      <c r="K113" s="188">
        <f t="shared" si="30"/>
        <v>0</v>
      </c>
      <c r="L113" s="548">
        <f t="shared" si="2"/>
        <v>0</v>
      </c>
      <c r="M113" s="189">
        <f t="shared" si="23"/>
        <v>0</v>
      </c>
      <c r="N113" s="189">
        <f t="shared" si="24"/>
        <v>0</v>
      </c>
      <c r="O113" s="189">
        <f t="shared" si="25"/>
        <v>0</v>
      </c>
    </row>
    <row r="114" spans="1:15" s="57" customFormat="1" ht="29.4" customHeight="1" x14ac:dyDescent="0.25">
      <c r="A114" s="303" t="str">
        <f>'Kalk UHR GS Deisenhofen'!A114</f>
        <v>Schule</v>
      </c>
      <c r="B114" s="303" t="str">
        <f>'Kalk UHR GS Deisenhofen'!B114</f>
        <v>EG</v>
      </c>
      <c r="C114" s="303" t="str">
        <f>'Kalk UHR GS Deisenhofen'!C114</f>
        <v>E.C.18</v>
      </c>
      <c r="D114" s="303" t="str">
        <f>'Kalk UHR GS Deisenhofen'!D114</f>
        <v>WC-Jungen</v>
      </c>
      <c r="E114" s="229"/>
      <c r="F114" s="195">
        <v>0</v>
      </c>
      <c r="G114" s="195">
        <v>12</v>
      </c>
      <c r="H114" s="186">
        <f t="shared" si="21"/>
        <v>0</v>
      </c>
      <c r="I114" s="549"/>
      <c r="J114" s="187"/>
      <c r="K114" s="188">
        <f t="shared" si="30"/>
        <v>0</v>
      </c>
      <c r="L114" s="548">
        <f t="shared" si="2"/>
        <v>0</v>
      </c>
      <c r="M114" s="189">
        <f t="shared" si="23"/>
        <v>0</v>
      </c>
      <c r="N114" s="189">
        <f t="shared" si="24"/>
        <v>0</v>
      </c>
      <c r="O114" s="189">
        <f t="shared" si="25"/>
        <v>0</v>
      </c>
    </row>
    <row r="115" spans="1:15" s="57" customFormat="1" ht="29.4" customHeight="1" x14ac:dyDescent="0.25">
      <c r="A115" s="303" t="str">
        <f>'Kalk UHR GS Deisenhofen'!A115</f>
        <v>Schule</v>
      </c>
      <c r="B115" s="303" t="str">
        <f>'Kalk UHR GS Deisenhofen'!B115</f>
        <v>EG</v>
      </c>
      <c r="C115" s="303" t="str">
        <f>'Kalk UHR GS Deisenhofen'!C115</f>
        <v>E.C.19</v>
      </c>
      <c r="D115" s="303" t="str">
        <f>'Kalk UHR GS Deisenhofen'!D115</f>
        <v>WC-Behinderte</v>
      </c>
      <c r="E115" s="229"/>
      <c r="F115" s="195">
        <v>0</v>
      </c>
      <c r="G115" s="195">
        <v>12</v>
      </c>
      <c r="H115" s="186">
        <f t="shared" si="21"/>
        <v>0</v>
      </c>
      <c r="I115" s="549"/>
      <c r="J115" s="187"/>
      <c r="K115" s="188">
        <f t="shared" si="30"/>
        <v>0</v>
      </c>
      <c r="L115" s="548">
        <f t="shared" si="2"/>
        <v>0</v>
      </c>
      <c r="M115" s="189">
        <f t="shared" si="23"/>
        <v>0</v>
      </c>
      <c r="N115" s="189">
        <f t="shared" si="24"/>
        <v>0</v>
      </c>
      <c r="O115" s="189">
        <f t="shared" si="25"/>
        <v>0</v>
      </c>
    </row>
    <row r="116" spans="1:15" s="57" customFormat="1" ht="29.4" customHeight="1" x14ac:dyDescent="0.25">
      <c r="A116" s="303" t="str">
        <f>'Kalk UHR GS Deisenhofen'!A116</f>
        <v>Schule</v>
      </c>
      <c r="B116" s="303" t="str">
        <f>'Kalk UHR GS Deisenhofen'!B116</f>
        <v>EG</v>
      </c>
      <c r="C116" s="303" t="str">
        <f>'Kalk UHR GS Deisenhofen'!C116</f>
        <v>E.C.20</v>
      </c>
      <c r="D116" s="303" t="str">
        <f>'Kalk UHR GS Deisenhofen'!D116</f>
        <v>Garderobe</v>
      </c>
      <c r="E116" s="229"/>
      <c r="F116" s="195">
        <v>0</v>
      </c>
      <c r="G116" s="195">
        <v>12</v>
      </c>
      <c r="H116" s="186">
        <f t="shared" si="21"/>
        <v>0</v>
      </c>
      <c r="I116" s="549"/>
      <c r="J116" s="187"/>
      <c r="K116" s="188">
        <f t="shared" si="30"/>
        <v>0</v>
      </c>
      <c r="L116" s="548">
        <f t="shared" si="2"/>
        <v>0</v>
      </c>
      <c r="M116" s="189">
        <f t="shared" si="23"/>
        <v>0</v>
      </c>
      <c r="N116" s="189">
        <f t="shared" si="24"/>
        <v>0</v>
      </c>
      <c r="O116" s="189">
        <f t="shared" si="25"/>
        <v>0</v>
      </c>
    </row>
    <row r="117" spans="1:15" s="57" customFormat="1" ht="29.4" customHeight="1" x14ac:dyDescent="0.25">
      <c r="A117" s="303" t="str">
        <f>'Kalk UHR GS Deisenhofen'!A117</f>
        <v>Schule</v>
      </c>
      <c r="B117" s="303" t="str">
        <f>'Kalk UHR GS Deisenhofen'!B117</f>
        <v>EG</v>
      </c>
      <c r="C117" s="303" t="str">
        <f>'Kalk UHR GS Deisenhofen'!C117</f>
        <v>E.C.21</v>
      </c>
      <c r="D117" s="303" t="str">
        <f>'Kalk UHR GS Deisenhofen'!D117</f>
        <v>Klassenraum 5</v>
      </c>
      <c r="E117" s="229"/>
      <c r="F117" s="195">
        <v>0</v>
      </c>
      <c r="G117" s="195">
        <v>12</v>
      </c>
      <c r="H117" s="186">
        <f t="shared" si="21"/>
        <v>0</v>
      </c>
      <c r="I117" s="549"/>
      <c r="J117" s="187"/>
      <c r="K117" s="188">
        <f t="shared" si="30"/>
        <v>0</v>
      </c>
      <c r="L117" s="548">
        <f t="shared" si="2"/>
        <v>0</v>
      </c>
      <c r="M117" s="189">
        <f t="shared" si="23"/>
        <v>0</v>
      </c>
      <c r="N117" s="189">
        <f t="shared" si="24"/>
        <v>0</v>
      </c>
      <c r="O117" s="189">
        <f t="shared" si="25"/>
        <v>0</v>
      </c>
    </row>
    <row r="118" spans="1:15" s="57" customFormat="1" ht="29.4" customHeight="1" x14ac:dyDescent="0.25">
      <c r="A118" s="303" t="str">
        <f>'Kalk UHR GS Deisenhofen'!A118</f>
        <v>Schule</v>
      </c>
      <c r="B118" s="303" t="str">
        <f>'Kalk UHR GS Deisenhofen'!B118</f>
        <v>EG</v>
      </c>
      <c r="C118" s="303" t="str">
        <f>'Kalk UHR GS Deisenhofen'!C118</f>
        <v>E.C.22</v>
      </c>
      <c r="D118" s="303" t="str">
        <f>'Kalk UHR GS Deisenhofen'!D118</f>
        <v>Gruppenraum</v>
      </c>
      <c r="E118" s="229"/>
      <c r="F118" s="195">
        <v>0</v>
      </c>
      <c r="G118" s="195">
        <v>12</v>
      </c>
      <c r="H118" s="186">
        <f t="shared" si="21"/>
        <v>0</v>
      </c>
      <c r="I118" s="549"/>
      <c r="J118" s="187"/>
      <c r="K118" s="188">
        <f t="shared" si="30"/>
        <v>0</v>
      </c>
      <c r="L118" s="548">
        <f t="shared" si="2"/>
        <v>0</v>
      </c>
      <c r="M118" s="189">
        <f t="shared" si="23"/>
        <v>0</v>
      </c>
      <c r="N118" s="189">
        <f t="shared" si="24"/>
        <v>0</v>
      </c>
      <c r="O118" s="189">
        <f t="shared" si="25"/>
        <v>0</v>
      </c>
    </row>
    <row r="119" spans="1:15" s="57" customFormat="1" ht="29.4" customHeight="1" x14ac:dyDescent="0.25">
      <c r="A119" s="303" t="str">
        <f>'Kalk UHR GS Deisenhofen'!A119</f>
        <v>Schule</v>
      </c>
      <c r="B119" s="303" t="str">
        <f>'Kalk UHR GS Deisenhofen'!B119</f>
        <v>EG</v>
      </c>
      <c r="C119" s="303" t="str">
        <f>'Kalk UHR GS Deisenhofen'!C119</f>
        <v>E.C.23</v>
      </c>
      <c r="D119" s="303" t="str">
        <f>'Kalk UHR GS Deisenhofen'!D119</f>
        <v>Klassenraum 6</v>
      </c>
      <c r="E119" s="229"/>
      <c r="F119" s="195">
        <v>0</v>
      </c>
      <c r="G119" s="195">
        <v>12</v>
      </c>
      <c r="H119" s="186">
        <f t="shared" si="21"/>
        <v>0</v>
      </c>
      <c r="I119" s="549"/>
      <c r="J119" s="187"/>
      <c r="K119" s="188">
        <f t="shared" si="30"/>
        <v>0</v>
      </c>
      <c r="L119" s="548">
        <f t="shared" si="2"/>
        <v>0</v>
      </c>
      <c r="M119" s="189">
        <f t="shared" si="23"/>
        <v>0</v>
      </c>
      <c r="N119" s="189">
        <f t="shared" si="24"/>
        <v>0</v>
      </c>
      <c r="O119" s="189">
        <f t="shared" si="25"/>
        <v>0</v>
      </c>
    </row>
    <row r="120" spans="1:15" s="57" customFormat="1" ht="29.4" customHeight="1" x14ac:dyDescent="0.25">
      <c r="A120" s="303" t="str">
        <f>'Kalk UHR GS Deisenhofen'!A120</f>
        <v>Schule</v>
      </c>
      <c r="B120" s="303" t="str">
        <f>'Kalk UHR GS Deisenhofen'!B120</f>
        <v>EG</v>
      </c>
      <c r="C120" s="303" t="str">
        <f>'Kalk UHR GS Deisenhofen'!C120</f>
        <v>E.C.24</v>
      </c>
      <c r="D120" s="303" t="str">
        <f>'Kalk UHR GS Deisenhofen'!D120</f>
        <v>Garderobe</v>
      </c>
      <c r="E120" s="229"/>
      <c r="F120" s="195">
        <v>0</v>
      </c>
      <c r="G120" s="195">
        <v>12</v>
      </c>
      <c r="H120" s="186">
        <f t="shared" si="21"/>
        <v>0</v>
      </c>
      <c r="I120" s="549"/>
      <c r="J120" s="187"/>
      <c r="K120" s="188">
        <f t="shared" si="30"/>
        <v>0</v>
      </c>
      <c r="L120" s="548">
        <f t="shared" si="2"/>
        <v>0</v>
      </c>
      <c r="M120" s="189">
        <f t="shared" si="23"/>
        <v>0</v>
      </c>
      <c r="N120" s="189">
        <f t="shared" si="24"/>
        <v>0</v>
      </c>
      <c r="O120" s="189">
        <f t="shared" si="25"/>
        <v>0</v>
      </c>
    </row>
    <row r="121" spans="1:15" s="57" customFormat="1" ht="29.4" customHeight="1" x14ac:dyDescent="0.25">
      <c r="A121" s="303" t="str">
        <f>'Kalk UHR GS Deisenhofen'!A121</f>
        <v>Schule</v>
      </c>
      <c r="B121" s="303" t="str">
        <f>'Kalk UHR GS Deisenhofen'!B121</f>
        <v>EG</v>
      </c>
      <c r="C121" s="303" t="str">
        <f>'Kalk UHR GS Deisenhofen'!C121</f>
        <v>E.C.T.03</v>
      </c>
      <c r="D121" s="303" t="str">
        <f>'Kalk UHR GS Deisenhofen'!D121</f>
        <v>Treppe</v>
      </c>
      <c r="E121" s="229"/>
      <c r="F121" s="195">
        <v>0</v>
      </c>
      <c r="G121" s="195">
        <v>12</v>
      </c>
      <c r="H121" s="186">
        <f t="shared" si="21"/>
        <v>0</v>
      </c>
      <c r="I121" s="549"/>
      <c r="J121" s="187"/>
      <c r="K121" s="188">
        <f t="shared" si="30"/>
        <v>0</v>
      </c>
      <c r="L121" s="548">
        <f t="shared" si="2"/>
        <v>0</v>
      </c>
      <c r="M121" s="189">
        <f t="shared" si="23"/>
        <v>0</v>
      </c>
      <c r="N121" s="189">
        <f t="shared" si="24"/>
        <v>0</v>
      </c>
      <c r="O121" s="189">
        <f t="shared" si="25"/>
        <v>0</v>
      </c>
    </row>
    <row r="122" spans="1:15" s="57" customFormat="1" ht="29.4" customHeight="1" x14ac:dyDescent="0.25">
      <c r="A122" s="303" t="str">
        <f>'Kalk UHR GS Deisenhofen'!A122</f>
        <v>Schule</v>
      </c>
      <c r="B122" s="303" t="str">
        <f>'Kalk UHR GS Deisenhofen'!B122</f>
        <v>EG</v>
      </c>
      <c r="C122" s="303" t="str">
        <f>'Kalk UHR GS Deisenhofen'!C122</f>
        <v>E.C.25</v>
      </c>
      <c r="D122" s="303" t="str">
        <f>'Kalk UHR GS Deisenhofen'!D122</f>
        <v>Lager</v>
      </c>
      <c r="E122" s="229"/>
      <c r="F122" s="195">
        <v>0</v>
      </c>
      <c r="G122" s="195">
        <v>12</v>
      </c>
      <c r="H122" s="186">
        <f t="shared" si="21"/>
        <v>0</v>
      </c>
      <c r="I122" s="549"/>
      <c r="J122" s="187"/>
      <c r="K122" s="188">
        <f t="shared" si="30"/>
        <v>0</v>
      </c>
      <c r="L122" s="548">
        <f t="shared" si="2"/>
        <v>0</v>
      </c>
      <c r="M122" s="189">
        <f t="shared" si="23"/>
        <v>0</v>
      </c>
      <c r="N122" s="189">
        <f t="shared" si="24"/>
        <v>0</v>
      </c>
      <c r="O122" s="189">
        <f t="shared" si="25"/>
        <v>0</v>
      </c>
    </row>
    <row r="123" spans="1:15" s="57" customFormat="1" ht="29.4" customHeight="1" x14ac:dyDescent="0.25">
      <c r="A123" s="303" t="str">
        <f>'Kalk UHR GS Deisenhofen'!A123</f>
        <v>Schule</v>
      </c>
      <c r="B123" s="303" t="str">
        <f>'Kalk UHR GS Deisenhofen'!B123</f>
        <v>EG</v>
      </c>
      <c r="C123" s="303" t="str">
        <f>'Kalk UHR GS Deisenhofen'!C123</f>
        <v>E.C.F.06</v>
      </c>
      <c r="D123" s="303" t="str">
        <f>'Kalk UHR GS Deisenhofen'!D123</f>
        <v>Flur</v>
      </c>
      <c r="E123" s="229">
        <f>2.36*1.15+3.55*0.66+4.53*0.66</f>
        <v>8.0467999999999993</v>
      </c>
      <c r="F123" s="195">
        <v>0</v>
      </c>
      <c r="G123" s="195">
        <v>12</v>
      </c>
      <c r="H123" s="186">
        <f t="shared" si="21"/>
        <v>96.561599999999999</v>
      </c>
      <c r="I123" s="549"/>
      <c r="J123" s="187"/>
      <c r="K123" s="188">
        <f t="shared" si="30"/>
        <v>0</v>
      </c>
      <c r="L123" s="548">
        <f t="shared" si="2"/>
        <v>0</v>
      </c>
      <c r="M123" s="189">
        <f t="shared" si="23"/>
        <v>0</v>
      </c>
      <c r="N123" s="189">
        <f t="shared" si="24"/>
        <v>0</v>
      </c>
      <c r="O123" s="189">
        <f t="shared" si="25"/>
        <v>0</v>
      </c>
    </row>
    <row r="124" spans="1:15" s="57" customFormat="1" ht="29.4" customHeight="1" x14ac:dyDescent="0.25">
      <c r="A124" s="303" t="str">
        <f>'Kalk UHR GS Deisenhofen'!A124</f>
        <v>Schule</v>
      </c>
      <c r="B124" s="303" t="str">
        <f>'Kalk UHR GS Deisenhofen'!B124</f>
        <v>EG</v>
      </c>
      <c r="C124" s="303" t="str">
        <f>'Kalk UHR GS Deisenhofen'!C124</f>
        <v>E.C.26</v>
      </c>
      <c r="D124" s="303" t="str">
        <f>'Kalk UHR GS Deisenhofen'!D124</f>
        <v>Pausenhalle</v>
      </c>
      <c r="E124" s="229"/>
      <c r="F124" s="195">
        <v>0</v>
      </c>
      <c r="G124" s="195">
        <v>12</v>
      </c>
      <c r="H124" s="186">
        <f t="shared" si="21"/>
        <v>0</v>
      </c>
      <c r="I124" s="549"/>
      <c r="J124" s="187"/>
      <c r="K124" s="188">
        <f t="shared" si="30"/>
        <v>0</v>
      </c>
      <c r="L124" s="548">
        <f t="shared" si="2"/>
        <v>0</v>
      </c>
      <c r="M124" s="189">
        <f t="shared" si="23"/>
        <v>0</v>
      </c>
      <c r="N124" s="189">
        <f t="shared" si="24"/>
        <v>0</v>
      </c>
      <c r="O124" s="189">
        <f t="shared" si="25"/>
        <v>0</v>
      </c>
    </row>
    <row r="125" spans="1:15" s="57" customFormat="1" ht="29.4" customHeight="1" x14ac:dyDescent="0.25">
      <c r="A125" s="303" t="str">
        <f>'Kalk UHR GS Deisenhofen'!A125</f>
        <v>Schule</v>
      </c>
      <c r="B125" s="303" t="str">
        <f>'Kalk UHR GS Deisenhofen'!B125</f>
        <v>EG</v>
      </c>
      <c r="C125" s="303" t="str">
        <f>'Kalk UHR GS Deisenhofen'!C125</f>
        <v>E.D.F.15</v>
      </c>
      <c r="D125" s="303" t="str">
        <f>'Kalk UHR GS Deisenhofen'!D125</f>
        <v>Flur</v>
      </c>
      <c r="E125" s="229">
        <f>2.67*2.72</f>
        <v>7.2624000000000004</v>
      </c>
      <c r="F125" s="195">
        <v>0</v>
      </c>
      <c r="G125" s="195">
        <v>12</v>
      </c>
      <c r="H125" s="186">
        <f t="shared" si="21"/>
        <v>87.148800000000008</v>
      </c>
      <c r="I125" s="549"/>
      <c r="J125" s="187"/>
      <c r="K125" s="188">
        <f t="shared" si="30"/>
        <v>0</v>
      </c>
      <c r="L125" s="548">
        <f t="shared" si="2"/>
        <v>0</v>
      </c>
      <c r="M125" s="189">
        <f t="shared" si="23"/>
        <v>0</v>
      </c>
      <c r="N125" s="189">
        <f t="shared" si="24"/>
        <v>0</v>
      </c>
      <c r="O125" s="189">
        <f t="shared" si="25"/>
        <v>0</v>
      </c>
    </row>
    <row r="126" spans="1:15" s="57" customFormat="1" ht="29.4" customHeight="1" x14ac:dyDescent="0.25">
      <c r="A126" s="303" t="str">
        <f>'Kalk UHR GS Deisenhofen'!A126</f>
        <v>Schule</v>
      </c>
      <c r="B126" s="303" t="str">
        <f>'Kalk UHR GS Deisenhofen'!B126</f>
        <v>EG</v>
      </c>
      <c r="C126" s="303" t="str">
        <f>'Kalk UHR GS Deisenhofen'!C126</f>
        <v>E.D.F.17</v>
      </c>
      <c r="D126" s="303" t="str">
        <f>'Kalk UHR GS Deisenhofen'!D126</f>
        <v>Flur</v>
      </c>
      <c r="E126" s="229">
        <f>2.11*0.33+2.11*0.97+2.11*0.33</f>
        <v>3.4392999999999998</v>
      </c>
      <c r="F126" s="195">
        <v>0</v>
      </c>
      <c r="G126" s="195">
        <v>12</v>
      </c>
      <c r="H126" s="186">
        <f t="shared" si="21"/>
        <v>41.271599999999999</v>
      </c>
      <c r="I126" s="549"/>
      <c r="J126" s="187"/>
      <c r="K126" s="188">
        <f t="shared" si="30"/>
        <v>0</v>
      </c>
      <c r="L126" s="548">
        <f t="shared" si="2"/>
        <v>0</v>
      </c>
      <c r="M126" s="189">
        <f t="shared" si="23"/>
        <v>0</v>
      </c>
      <c r="N126" s="189">
        <f t="shared" si="24"/>
        <v>0</v>
      </c>
      <c r="O126" s="189">
        <f t="shared" si="25"/>
        <v>0</v>
      </c>
    </row>
    <row r="127" spans="1:15" s="57" customFormat="1" ht="29.4" customHeight="1" x14ac:dyDescent="0.25">
      <c r="A127" s="303" t="str">
        <f>'Kalk UHR GS Deisenhofen'!A127</f>
        <v>Schule</v>
      </c>
      <c r="B127" s="303" t="str">
        <f>'Kalk UHR GS Deisenhofen'!B127</f>
        <v>EG</v>
      </c>
      <c r="C127" s="303" t="str">
        <f>'Kalk UHR GS Deisenhofen'!C127</f>
        <v>E.D.Z.02</v>
      </c>
      <c r="D127" s="303" t="str">
        <f>'Kalk UHR GS Deisenhofen'!D127</f>
        <v>Aufzug</v>
      </c>
      <c r="E127" s="229"/>
      <c r="F127" s="195">
        <v>0</v>
      </c>
      <c r="G127" s="195">
        <v>12</v>
      </c>
      <c r="H127" s="186">
        <f t="shared" si="21"/>
        <v>0</v>
      </c>
      <c r="I127" s="549"/>
      <c r="J127" s="187"/>
      <c r="K127" s="188">
        <f t="shared" si="30"/>
        <v>0</v>
      </c>
      <c r="L127" s="548">
        <f t="shared" si="2"/>
        <v>0</v>
      </c>
      <c r="M127" s="189">
        <f t="shared" si="23"/>
        <v>0</v>
      </c>
      <c r="N127" s="189">
        <f t="shared" si="24"/>
        <v>0</v>
      </c>
      <c r="O127" s="189">
        <f t="shared" si="25"/>
        <v>0</v>
      </c>
    </row>
    <row r="128" spans="1:15" s="57" customFormat="1" ht="29.4" customHeight="1" x14ac:dyDescent="0.25">
      <c r="A128" s="303" t="str">
        <f>'Kalk UHR GS Deisenhofen'!A128</f>
        <v>Schule</v>
      </c>
      <c r="B128" s="303" t="str">
        <f>'Kalk UHR GS Deisenhofen'!B128</f>
        <v>EG</v>
      </c>
      <c r="C128" s="303" t="str">
        <f>'Kalk UHR GS Deisenhofen'!C128</f>
        <v>E.C.F.05</v>
      </c>
      <c r="D128" s="303" t="str">
        <f>'Kalk UHR GS Deisenhofen'!D128</f>
        <v>Flur</v>
      </c>
      <c r="E128" s="229"/>
      <c r="F128" s="195">
        <v>0</v>
      </c>
      <c r="G128" s="195">
        <v>12</v>
      </c>
      <c r="H128" s="186">
        <f t="shared" si="21"/>
        <v>0</v>
      </c>
      <c r="I128" s="549"/>
      <c r="J128" s="187"/>
      <c r="K128" s="188">
        <f t="shared" si="30"/>
        <v>0</v>
      </c>
      <c r="L128" s="548">
        <f t="shared" si="2"/>
        <v>0</v>
      </c>
      <c r="M128" s="189">
        <f t="shared" si="23"/>
        <v>0</v>
      </c>
      <c r="N128" s="189">
        <f t="shared" si="24"/>
        <v>0</v>
      </c>
      <c r="O128" s="189">
        <f t="shared" si="25"/>
        <v>0</v>
      </c>
    </row>
    <row r="129" spans="1:15" s="57" customFormat="1" ht="29.4" customHeight="1" x14ac:dyDescent="0.25">
      <c r="A129" s="303" t="str">
        <f>'Kalk UHR GS Deisenhofen'!A129</f>
        <v>Schule</v>
      </c>
      <c r="B129" s="303" t="str">
        <f>'Kalk UHR GS Deisenhofen'!B129</f>
        <v>EG</v>
      </c>
      <c r="C129" s="303" t="str">
        <f>'Kalk UHR GS Deisenhofen'!C129</f>
        <v>E.C.T.04</v>
      </c>
      <c r="D129" s="303" t="str">
        <f>'Kalk UHR GS Deisenhofen'!D129</f>
        <v>Treppe</v>
      </c>
      <c r="E129" s="229"/>
      <c r="F129" s="195">
        <v>0</v>
      </c>
      <c r="G129" s="195">
        <v>12</v>
      </c>
      <c r="H129" s="186">
        <f t="shared" si="21"/>
        <v>0</v>
      </c>
      <c r="I129" s="549"/>
      <c r="J129" s="187"/>
      <c r="K129" s="188">
        <f t="shared" si="30"/>
        <v>0</v>
      </c>
      <c r="L129" s="548">
        <f t="shared" si="2"/>
        <v>0</v>
      </c>
      <c r="M129" s="189">
        <f t="shared" si="23"/>
        <v>0</v>
      </c>
      <c r="N129" s="189">
        <f t="shared" si="24"/>
        <v>0</v>
      </c>
      <c r="O129" s="189">
        <f t="shared" si="25"/>
        <v>0</v>
      </c>
    </row>
    <row r="130" spans="1:15" s="57" customFormat="1" ht="29.4" customHeight="1" x14ac:dyDescent="0.25">
      <c r="A130" s="303" t="str">
        <f>'Kalk UHR GS Deisenhofen'!A130</f>
        <v>Schule</v>
      </c>
      <c r="B130" s="303" t="str">
        <f>'Kalk UHR GS Deisenhofen'!B130</f>
        <v>EG</v>
      </c>
      <c r="C130" s="303" t="str">
        <f>'Kalk UHR GS Deisenhofen'!C130</f>
        <v>E.C.F.07</v>
      </c>
      <c r="D130" s="303" t="str">
        <f>'Kalk UHR GS Deisenhofen'!D130</f>
        <v>Eingang</v>
      </c>
      <c r="E130" s="229"/>
      <c r="F130" s="195">
        <v>0</v>
      </c>
      <c r="G130" s="195">
        <v>12</v>
      </c>
      <c r="H130" s="186">
        <f t="shared" si="21"/>
        <v>0</v>
      </c>
      <c r="I130" s="549"/>
      <c r="J130" s="187"/>
      <c r="K130" s="188">
        <f t="shared" si="30"/>
        <v>0</v>
      </c>
      <c r="L130" s="548">
        <f t="shared" si="2"/>
        <v>0</v>
      </c>
      <c r="M130" s="189">
        <f t="shared" si="23"/>
        <v>0</v>
      </c>
      <c r="N130" s="189">
        <f t="shared" si="24"/>
        <v>0</v>
      </c>
      <c r="O130" s="189">
        <f t="shared" si="25"/>
        <v>0</v>
      </c>
    </row>
    <row r="131" spans="1:15" s="57" customFormat="1" ht="29.4" customHeight="1" x14ac:dyDescent="0.25">
      <c r="A131" s="303" t="str">
        <f>'Kalk UHR GS Deisenhofen'!A131</f>
        <v>Schule</v>
      </c>
      <c r="B131" s="303" t="str">
        <f>'Kalk UHR GS Deisenhofen'!B131</f>
        <v>EG</v>
      </c>
      <c r="C131" s="303" t="str">
        <f>'Kalk UHR GS Deisenhofen'!C131</f>
        <v>E.C.27</v>
      </c>
      <c r="D131" s="303" t="str">
        <f>'Kalk UHR GS Deisenhofen'!D131</f>
        <v>Sekretariat</v>
      </c>
      <c r="E131" s="229"/>
      <c r="F131" s="195">
        <v>0</v>
      </c>
      <c r="G131" s="195">
        <v>12</v>
      </c>
      <c r="H131" s="186">
        <f t="shared" si="21"/>
        <v>0</v>
      </c>
      <c r="I131" s="549"/>
      <c r="J131" s="187"/>
      <c r="K131" s="188">
        <f t="shared" si="30"/>
        <v>0</v>
      </c>
      <c r="L131" s="548">
        <f t="shared" si="2"/>
        <v>0</v>
      </c>
      <c r="M131" s="189">
        <f t="shared" si="23"/>
        <v>0</v>
      </c>
      <c r="N131" s="189">
        <f t="shared" si="24"/>
        <v>0</v>
      </c>
      <c r="O131" s="189">
        <f t="shared" si="25"/>
        <v>0</v>
      </c>
    </row>
    <row r="132" spans="1:15" s="57" customFormat="1" ht="29.4" customHeight="1" x14ac:dyDescent="0.25">
      <c r="A132" s="303" t="str">
        <f>'Kalk UHR GS Deisenhofen'!A132</f>
        <v>Schule</v>
      </c>
      <c r="B132" s="303" t="str">
        <f>'Kalk UHR GS Deisenhofen'!B132</f>
        <v>EG</v>
      </c>
      <c r="C132" s="303" t="str">
        <f>'Kalk UHR GS Deisenhofen'!C132</f>
        <v>E.C.27a</v>
      </c>
      <c r="D132" s="303" t="str">
        <f>'Kalk UHR GS Deisenhofen'!D132</f>
        <v>1. Hilfe in Sekretariat inkl.</v>
      </c>
      <c r="E132" s="229"/>
      <c r="F132" s="195">
        <v>0</v>
      </c>
      <c r="G132" s="195">
        <v>12</v>
      </c>
      <c r="H132" s="186">
        <f t="shared" si="21"/>
        <v>0</v>
      </c>
      <c r="I132" s="549"/>
      <c r="J132" s="187"/>
      <c r="K132" s="188">
        <f t="shared" si="30"/>
        <v>0</v>
      </c>
      <c r="L132" s="548">
        <f t="shared" si="2"/>
        <v>0</v>
      </c>
      <c r="M132" s="189">
        <f t="shared" si="23"/>
        <v>0</v>
      </c>
      <c r="N132" s="189">
        <f t="shared" si="24"/>
        <v>0</v>
      </c>
      <c r="O132" s="189">
        <f t="shared" si="25"/>
        <v>0</v>
      </c>
    </row>
    <row r="133" spans="1:15" s="57" customFormat="1" ht="29.4" customHeight="1" x14ac:dyDescent="0.25">
      <c r="A133" s="303" t="str">
        <f>'Kalk UHR GS Deisenhofen'!A133</f>
        <v>Schule</v>
      </c>
      <c r="B133" s="303" t="str">
        <f>'Kalk UHR GS Deisenhofen'!B133</f>
        <v>EG</v>
      </c>
      <c r="C133" s="303" t="str">
        <f>'Kalk UHR GS Deisenhofen'!C133</f>
        <v>E.C.28</v>
      </c>
      <c r="D133" s="303" t="str">
        <f>'Kalk UHR GS Deisenhofen'!D133</f>
        <v>Rektorat</v>
      </c>
      <c r="E133" s="229"/>
      <c r="F133" s="195">
        <v>0</v>
      </c>
      <c r="G133" s="195">
        <v>12</v>
      </c>
      <c r="H133" s="186">
        <f t="shared" si="21"/>
        <v>0</v>
      </c>
      <c r="I133" s="549"/>
      <c r="J133" s="187"/>
      <c r="K133" s="188">
        <f t="shared" si="30"/>
        <v>0</v>
      </c>
      <c r="L133" s="548">
        <f t="shared" si="2"/>
        <v>0</v>
      </c>
      <c r="M133" s="189">
        <f t="shared" si="23"/>
        <v>0</v>
      </c>
      <c r="N133" s="189">
        <f t="shared" si="24"/>
        <v>0</v>
      </c>
      <c r="O133" s="189">
        <f t="shared" si="25"/>
        <v>0</v>
      </c>
    </row>
    <row r="134" spans="1:15" s="57" customFormat="1" ht="29.4" customHeight="1" x14ac:dyDescent="0.25">
      <c r="A134" s="303" t="str">
        <f>'Kalk UHR GS Deisenhofen'!A134</f>
        <v>Schule</v>
      </c>
      <c r="B134" s="303" t="str">
        <f>'Kalk UHR GS Deisenhofen'!B134</f>
        <v>EG</v>
      </c>
      <c r="C134" s="303" t="str">
        <f>'Kalk UHR GS Deisenhofen'!C134</f>
        <v>E.C.29</v>
      </c>
      <c r="D134" s="303" t="str">
        <f>'Kalk UHR GS Deisenhofen'!D134</f>
        <v>Konrektorat</v>
      </c>
      <c r="E134" s="229"/>
      <c r="F134" s="195">
        <v>0</v>
      </c>
      <c r="G134" s="195">
        <v>12</v>
      </c>
      <c r="H134" s="186">
        <f t="shared" si="21"/>
        <v>0</v>
      </c>
      <c r="I134" s="549"/>
      <c r="J134" s="187"/>
      <c r="K134" s="188">
        <f t="shared" si="30"/>
        <v>0</v>
      </c>
      <c r="L134" s="548">
        <f t="shared" si="2"/>
        <v>0</v>
      </c>
      <c r="M134" s="189">
        <f t="shared" si="23"/>
        <v>0</v>
      </c>
      <c r="N134" s="189">
        <f t="shared" si="24"/>
        <v>0</v>
      </c>
      <c r="O134" s="189">
        <f t="shared" si="25"/>
        <v>0</v>
      </c>
    </row>
    <row r="135" spans="1:15" s="57" customFormat="1" ht="29.4" customHeight="1" x14ac:dyDescent="0.25">
      <c r="A135" s="303" t="str">
        <f>'Kalk UHR GS Deisenhofen'!A135</f>
        <v>Schule</v>
      </c>
      <c r="B135" s="303" t="str">
        <f>'Kalk UHR GS Deisenhofen'!B135</f>
        <v>EG</v>
      </c>
      <c r="C135" s="303" t="str">
        <f>'Kalk UHR GS Deisenhofen'!C135</f>
        <v>E.C.30</v>
      </c>
      <c r="D135" s="303" t="str">
        <f>'Kalk UHR GS Deisenhofen'!D135</f>
        <v>Kopierer</v>
      </c>
      <c r="E135" s="229"/>
      <c r="F135" s="195">
        <v>0</v>
      </c>
      <c r="G135" s="195">
        <v>12</v>
      </c>
      <c r="H135" s="186">
        <f t="shared" si="21"/>
        <v>0</v>
      </c>
      <c r="I135" s="549"/>
      <c r="J135" s="187"/>
      <c r="K135" s="188">
        <f t="shared" si="30"/>
        <v>0</v>
      </c>
      <c r="L135" s="548">
        <f t="shared" si="2"/>
        <v>0</v>
      </c>
      <c r="M135" s="189">
        <f t="shared" si="23"/>
        <v>0</v>
      </c>
      <c r="N135" s="189">
        <f t="shared" si="24"/>
        <v>0</v>
      </c>
      <c r="O135" s="189">
        <f t="shared" si="25"/>
        <v>0</v>
      </c>
    </row>
    <row r="136" spans="1:15" s="57" customFormat="1" ht="29.4" customHeight="1" x14ac:dyDescent="0.25">
      <c r="A136" s="303" t="str">
        <f>'Kalk UHR GS Deisenhofen'!A136</f>
        <v>Schule</v>
      </c>
      <c r="B136" s="303" t="str">
        <f>'Kalk UHR GS Deisenhofen'!B136</f>
        <v>EG</v>
      </c>
      <c r="C136" s="303" t="str">
        <f>'Kalk UHR GS Deisenhofen'!C136</f>
        <v>E.C.31</v>
      </c>
      <c r="D136" s="303" t="str">
        <f>'Kalk UHR GS Deisenhofen'!D136</f>
        <v>Arbeitszimmer Lehrer</v>
      </c>
      <c r="E136" s="229"/>
      <c r="F136" s="195">
        <v>0</v>
      </c>
      <c r="G136" s="195">
        <v>12</v>
      </c>
      <c r="H136" s="186">
        <f t="shared" si="21"/>
        <v>0</v>
      </c>
      <c r="I136" s="549"/>
      <c r="J136" s="187"/>
      <c r="K136" s="188">
        <f t="shared" si="30"/>
        <v>0</v>
      </c>
      <c r="L136" s="548">
        <f t="shared" si="2"/>
        <v>0</v>
      </c>
      <c r="M136" s="189">
        <f t="shared" si="23"/>
        <v>0</v>
      </c>
      <c r="N136" s="189">
        <f t="shared" si="24"/>
        <v>0</v>
      </c>
      <c r="O136" s="189">
        <f t="shared" si="25"/>
        <v>0</v>
      </c>
    </row>
    <row r="137" spans="1:15" s="57" customFormat="1" ht="29.4" customHeight="1" x14ac:dyDescent="0.25">
      <c r="A137" s="303" t="str">
        <f>'Kalk UHR GS Deisenhofen'!A137</f>
        <v>Schule</v>
      </c>
      <c r="B137" s="303" t="str">
        <f>'Kalk UHR GS Deisenhofen'!B137</f>
        <v>EG</v>
      </c>
      <c r="C137" s="303" t="str">
        <f>'Kalk UHR GS Deisenhofen'!C137</f>
        <v>E.C.32</v>
      </c>
      <c r="D137" s="303" t="str">
        <f>'Kalk UHR GS Deisenhofen'!D137</f>
        <v>Sozialpäd</v>
      </c>
      <c r="E137" s="229"/>
      <c r="F137" s="195">
        <v>0</v>
      </c>
      <c r="G137" s="195">
        <v>12</v>
      </c>
      <c r="H137" s="186">
        <f t="shared" si="21"/>
        <v>0</v>
      </c>
      <c r="I137" s="549"/>
      <c r="J137" s="187"/>
      <c r="K137" s="188">
        <f t="shared" si="30"/>
        <v>0</v>
      </c>
      <c r="L137" s="548">
        <f t="shared" si="2"/>
        <v>0</v>
      </c>
      <c r="M137" s="189">
        <f t="shared" si="23"/>
        <v>0</v>
      </c>
      <c r="N137" s="189">
        <f t="shared" si="24"/>
        <v>0</v>
      </c>
      <c r="O137" s="189">
        <f t="shared" si="25"/>
        <v>0</v>
      </c>
    </row>
    <row r="138" spans="1:15" s="57" customFormat="1" ht="29.4" customHeight="1" x14ac:dyDescent="0.25">
      <c r="A138" s="303" t="str">
        <f>'Kalk UHR GS Deisenhofen'!A138</f>
        <v>Schule</v>
      </c>
      <c r="B138" s="303" t="str">
        <f>'Kalk UHR GS Deisenhofen'!B138</f>
        <v>EG</v>
      </c>
      <c r="C138" s="303" t="str">
        <f>'Kalk UHR GS Deisenhofen'!C138</f>
        <v>E.C.33</v>
      </c>
      <c r="D138" s="303" t="str">
        <f>'Kalk UHR GS Deisenhofen'!D138</f>
        <v>Elternsprechzimmer</v>
      </c>
      <c r="E138" s="229"/>
      <c r="F138" s="195">
        <v>0</v>
      </c>
      <c r="G138" s="195">
        <v>12</v>
      </c>
      <c r="H138" s="186">
        <f t="shared" si="21"/>
        <v>0</v>
      </c>
      <c r="I138" s="549"/>
      <c r="J138" s="187"/>
      <c r="K138" s="188">
        <f t="shared" si="30"/>
        <v>0</v>
      </c>
      <c r="L138" s="548">
        <f t="shared" si="2"/>
        <v>0</v>
      </c>
      <c r="M138" s="189">
        <f t="shared" si="23"/>
        <v>0</v>
      </c>
      <c r="N138" s="189">
        <f t="shared" si="24"/>
        <v>0</v>
      </c>
      <c r="O138" s="189">
        <f t="shared" si="25"/>
        <v>0</v>
      </c>
    </row>
    <row r="139" spans="1:15" s="57" customFormat="1" ht="29.4" customHeight="1" x14ac:dyDescent="0.25">
      <c r="A139" s="303" t="str">
        <f>'Kalk UHR GS Deisenhofen'!A139</f>
        <v>Schule</v>
      </c>
      <c r="B139" s="303" t="str">
        <f>'Kalk UHR GS Deisenhofen'!B139</f>
        <v>EG</v>
      </c>
      <c r="C139" s="303" t="str">
        <f>'Kalk UHR GS Deisenhofen'!C139</f>
        <v>E.C.34</v>
      </c>
      <c r="D139" s="303" t="str">
        <f>'Kalk UHR GS Deisenhofen'!D139</f>
        <v>WC-Lehrer</v>
      </c>
      <c r="E139" s="229"/>
      <c r="F139" s="195">
        <v>0</v>
      </c>
      <c r="G139" s="195">
        <v>12</v>
      </c>
      <c r="H139" s="186">
        <f t="shared" si="21"/>
        <v>0</v>
      </c>
      <c r="I139" s="549"/>
      <c r="J139" s="187"/>
      <c r="K139" s="188">
        <f t="shared" si="30"/>
        <v>0</v>
      </c>
      <c r="L139" s="548">
        <f t="shared" si="2"/>
        <v>0</v>
      </c>
      <c r="M139" s="189">
        <f t="shared" si="23"/>
        <v>0</v>
      </c>
      <c r="N139" s="189">
        <f t="shared" si="24"/>
        <v>0</v>
      </c>
      <c r="O139" s="189">
        <f t="shared" si="25"/>
        <v>0</v>
      </c>
    </row>
    <row r="140" spans="1:15" s="57" customFormat="1" ht="29.4" customHeight="1" x14ac:dyDescent="0.25">
      <c r="A140" s="303" t="str">
        <f>'Kalk UHR GS Deisenhofen'!A140</f>
        <v>Schule</v>
      </c>
      <c r="B140" s="303" t="str">
        <f>'Kalk UHR GS Deisenhofen'!B140</f>
        <v>EG</v>
      </c>
      <c r="C140" s="303" t="str">
        <f>'Kalk UHR GS Deisenhofen'!C140</f>
        <v>E.C.35</v>
      </c>
      <c r="D140" s="303" t="str">
        <f>'Kalk UHR GS Deisenhofen'!D140</f>
        <v>WC-Lehrer</v>
      </c>
      <c r="E140" s="229"/>
      <c r="F140" s="195">
        <v>0</v>
      </c>
      <c r="G140" s="195">
        <v>12</v>
      </c>
      <c r="H140" s="186">
        <f t="shared" si="21"/>
        <v>0</v>
      </c>
      <c r="I140" s="549"/>
      <c r="J140" s="187"/>
      <c r="K140" s="188">
        <f t="shared" ref="K140:K203" si="31">IFERROR((F140*E140/I140),0)+IFERROR((G140*E140/J140),0)</f>
        <v>0</v>
      </c>
      <c r="L140" s="548">
        <f t="shared" si="2"/>
        <v>0</v>
      </c>
      <c r="M140" s="189">
        <f t="shared" si="23"/>
        <v>0</v>
      </c>
      <c r="N140" s="189">
        <f t="shared" si="24"/>
        <v>0</v>
      </c>
      <c r="O140" s="189">
        <f t="shared" si="25"/>
        <v>0</v>
      </c>
    </row>
    <row r="141" spans="1:15" s="57" customFormat="1" ht="29.4" customHeight="1" x14ac:dyDescent="0.25">
      <c r="A141" s="303" t="str">
        <f>'Kalk UHR GS Deisenhofen'!A141</f>
        <v>Schule</v>
      </c>
      <c r="B141" s="303" t="str">
        <f>'Kalk UHR GS Deisenhofen'!B141</f>
        <v>EG</v>
      </c>
      <c r="C141" s="303" t="str">
        <f>'Kalk UHR GS Deisenhofen'!C141</f>
        <v>E.C.36</v>
      </c>
      <c r="D141" s="303" t="str">
        <f>'Kalk UHR GS Deisenhofen'!D141</f>
        <v>Personal</v>
      </c>
      <c r="E141" s="229"/>
      <c r="F141" s="195">
        <v>0</v>
      </c>
      <c r="G141" s="195">
        <v>12</v>
      </c>
      <c r="H141" s="186">
        <f t="shared" si="21"/>
        <v>0</v>
      </c>
      <c r="I141" s="549"/>
      <c r="J141" s="187"/>
      <c r="K141" s="188">
        <f t="shared" si="31"/>
        <v>0</v>
      </c>
      <c r="L141" s="548">
        <f t="shared" si="2"/>
        <v>0</v>
      </c>
      <c r="M141" s="189">
        <f t="shared" si="23"/>
        <v>0</v>
      </c>
      <c r="N141" s="189">
        <f t="shared" si="24"/>
        <v>0</v>
      </c>
      <c r="O141" s="189">
        <f t="shared" si="25"/>
        <v>0</v>
      </c>
    </row>
    <row r="142" spans="1:15" s="57" customFormat="1" ht="29.4" customHeight="1" x14ac:dyDescent="0.25">
      <c r="A142" s="303" t="str">
        <f>'Kalk UHR GS Deisenhofen'!A142</f>
        <v>Schule</v>
      </c>
      <c r="B142" s="303" t="str">
        <f>'Kalk UHR GS Deisenhofen'!B142</f>
        <v>EG</v>
      </c>
      <c r="C142" s="303" t="str">
        <f>'Kalk UHR GS Deisenhofen'!C142</f>
        <v>E.C.T.05</v>
      </c>
      <c r="D142" s="303" t="str">
        <f>'Kalk UHR GS Deisenhofen'!D142</f>
        <v>Treppe</v>
      </c>
      <c r="E142" s="229"/>
      <c r="F142" s="195">
        <v>0</v>
      </c>
      <c r="G142" s="195">
        <v>12</v>
      </c>
      <c r="H142" s="186">
        <f t="shared" si="21"/>
        <v>0</v>
      </c>
      <c r="I142" s="549"/>
      <c r="J142" s="187"/>
      <c r="K142" s="188">
        <f t="shared" si="31"/>
        <v>0</v>
      </c>
      <c r="L142" s="548">
        <f t="shared" si="2"/>
        <v>0</v>
      </c>
      <c r="M142" s="189">
        <f t="shared" si="23"/>
        <v>0</v>
      </c>
      <c r="N142" s="189">
        <f t="shared" si="24"/>
        <v>0</v>
      </c>
      <c r="O142" s="189">
        <f t="shared" si="25"/>
        <v>0</v>
      </c>
    </row>
    <row r="143" spans="1:15" s="57" customFormat="1" ht="29.4" customHeight="1" x14ac:dyDescent="0.25">
      <c r="A143" s="303" t="str">
        <f>'Kalk UHR GS Deisenhofen'!A143</f>
        <v>Schule</v>
      </c>
      <c r="B143" s="303" t="str">
        <f>'Kalk UHR GS Deisenhofen'!B143</f>
        <v>EG</v>
      </c>
      <c r="C143" s="303" t="str">
        <f>'Kalk UHR GS Deisenhofen'!C143</f>
        <v>E.C.F.08</v>
      </c>
      <c r="D143" s="303" t="str">
        <f>'Kalk UHR GS Deisenhofen'!D143</f>
        <v>Flur</v>
      </c>
      <c r="E143" s="229">
        <f>1.18*2.34+2.45*0.51</f>
        <v>4.0106999999999999</v>
      </c>
      <c r="F143" s="195">
        <v>0</v>
      </c>
      <c r="G143" s="195">
        <v>12</v>
      </c>
      <c r="H143" s="186">
        <f t="shared" si="21"/>
        <v>48.128399999999999</v>
      </c>
      <c r="I143" s="549"/>
      <c r="J143" s="187"/>
      <c r="K143" s="188">
        <f t="shared" si="31"/>
        <v>0</v>
      </c>
      <c r="L143" s="548">
        <f t="shared" si="2"/>
        <v>0</v>
      </c>
      <c r="M143" s="189">
        <f t="shared" si="23"/>
        <v>0</v>
      </c>
      <c r="N143" s="189">
        <f t="shared" si="24"/>
        <v>0</v>
      </c>
      <c r="O143" s="189">
        <f t="shared" si="25"/>
        <v>0</v>
      </c>
    </row>
    <row r="144" spans="1:15" s="57" customFormat="1" ht="29.4" customHeight="1" x14ac:dyDescent="0.25">
      <c r="A144" s="303" t="str">
        <f>'Kalk UHR GS Deisenhofen'!A144</f>
        <v>Schule</v>
      </c>
      <c r="B144" s="303" t="str">
        <f>'Kalk UHR GS Deisenhofen'!B144</f>
        <v>EG</v>
      </c>
      <c r="C144" s="303" t="str">
        <f>'Kalk UHR GS Deisenhofen'!C144</f>
        <v>E.C.F.09</v>
      </c>
      <c r="D144" s="303" t="str">
        <f>'Kalk UHR GS Deisenhofen'!D144</f>
        <v>Flur</v>
      </c>
      <c r="E144" s="229">
        <f>2.32*1.19+2.42*1.01+1.15*2.34+2.1*0.32+2.1*1.17</f>
        <v>11.024999999999999</v>
      </c>
      <c r="F144" s="195">
        <v>0</v>
      </c>
      <c r="G144" s="195">
        <v>12</v>
      </c>
      <c r="H144" s="186">
        <f t="shared" si="21"/>
        <v>132.29999999999998</v>
      </c>
      <c r="I144" s="549"/>
      <c r="J144" s="187"/>
      <c r="K144" s="188">
        <f t="shared" si="31"/>
        <v>0</v>
      </c>
      <c r="L144" s="548">
        <f t="shared" si="2"/>
        <v>0</v>
      </c>
      <c r="M144" s="189">
        <f t="shared" si="23"/>
        <v>0</v>
      </c>
      <c r="N144" s="189">
        <f t="shared" si="24"/>
        <v>0</v>
      </c>
      <c r="O144" s="189">
        <f t="shared" si="25"/>
        <v>0</v>
      </c>
    </row>
    <row r="145" spans="1:15" s="57" customFormat="1" ht="29.4" customHeight="1" x14ac:dyDescent="0.25">
      <c r="A145" s="303" t="str">
        <f>'Kalk UHR GS Deisenhofen'!A145</f>
        <v>Schule</v>
      </c>
      <c r="B145" s="303" t="str">
        <f>'Kalk UHR GS Deisenhofen'!B145</f>
        <v>EG</v>
      </c>
      <c r="C145" s="303" t="str">
        <f>'Kalk UHR GS Deisenhofen'!C145</f>
        <v>E.C.37</v>
      </c>
      <c r="D145" s="303" t="str">
        <f>'Kalk UHR GS Deisenhofen'!D145</f>
        <v>Musikraum</v>
      </c>
      <c r="E145" s="229">
        <f>2.94*1.88+2.43*0.51</f>
        <v>6.7664999999999997</v>
      </c>
      <c r="F145" s="195">
        <v>0</v>
      </c>
      <c r="G145" s="195">
        <v>12</v>
      </c>
      <c r="H145" s="186">
        <f t="shared" si="21"/>
        <v>81.197999999999993</v>
      </c>
      <c r="I145" s="549"/>
      <c r="J145" s="187"/>
      <c r="K145" s="188">
        <f t="shared" si="31"/>
        <v>0</v>
      </c>
      <c r="L145" s="548">
        <f t="shared" si="2"/>
        <v>0</v>
      </c>
      <c r="M145" s="189">
        <f t="shared" si="23"/>
        <v>0</v>
      </c>
      <c r="N145" s="189">
        <f t="shared" si="24"/>
        <v>0</v>
      </c>
      <c r="O145" s="189">
        <f t="shared" si="25"/>
        <v>0</v>
      </c>
    </row>
    <row r="146" spans="1:15" s="57" customFormat="1" ht="29.4" customHeight="1" x14ac:dyDescent="0.25">
      <c r="A146" s="303" t="str">
        <f>'Kalk UHR GS Deisenhofen'!A146</f>
        <v>Schule</v>
      </c>
      <c r="B146" s="303" t="str">
        <f>'Kalk UHR GS Deisenhofen'!B146</f>
        <v>EG</v>
      </c>
      <c r="C146" s="303" t="str">
        <f>'Kalk UHR GS Deisenhofen'!C146</f>
        <v>E.C.38</v>
      </c>
      <c r="D146" s="303" t="str">
        <f>'Kalk UHR GS Deisenhofen'!D146</f>
        <v>Silentium</v>
      </c>
      <c r="E146" s="229"/>
      <c r="F146" s="195">
        <v>0</v>
      </c>
      <c r="G146" s="195">
        <v>12</v>
      </c>
      <c r="H146" s="186">
        <f t="shared" si="21"/>
        <v>0</v>
      </c>
      <c r="I146" s="549"/>
      <c r="J146" s="187"/>
      <c r="K146" s="188">
        <f t="shared" si="31"/>
        <v>0</v>
      </c>
      <c r="L146" s="548">
        <f t="shared" ref="L146:L244" si="32">L$4</f>
        <v>0</v>
      </c>
      <c r="M146" s="189">
        <f t="shared" si="23"/>
        <v>0</v>
      </c>
      <c r="N146" s="189">
        <f t="shared" si="24"/>
        <v>0</v>
      </c>
      <c r="O146" s="189">
        <f t="shared" si="25"/>
        <v>0</v>
      </c>
    </row>
    <row r="147" spans="1:15" s="57" customFormat="1" ht="29.4" customHeight="1" x14ac:dyDescent="0.25">
      <c r="A147" s="303" t="str">
        <f>'Kalk UHR GS Deisenhofen'!A147</f>
        <v>Schule</v>
      </c>
      <c r="B147" s="303" t="str">
        <f>'Kalk UHR GS Deisenhofen'!B147</f>
        <v>EG</v>
      </c>
      <c r="C147" s="303" t="str">
        <f>'Kalk UHR GS Deisenhofen'!C147</f>
        <v>E.C.39</v>
      </c>
      <c r="D147" s="303" t="str">
        <f>'Kalk UHR GS Deisenhofen'!D147</f>
        <v>Bibliothek</v>
      </c>
      <c r="E147" s="229"/>
      <c r="F147" s="195">
        <v>0</v>
      </c>
      <c r="G147" s="195">
        <v>12</v>
      </c>
      <c r="H147" s="186">
        <f t="shared" si="21"/>
        <v>0</v>
      </c>
      <c r="I147" s="549"/>
      <c r="J147" s="187"/>
      <c r="K147" s="188">
        <f t="shared" si="31"/>
        <v>0</v>
      </c>
      <c r="L147" s="548">
        <f t="shared" si="32"/>
        <v>0</v>
      </c>
      <c r="M147" s="189">
        <f t="shared" si="23"/>
        <v>0</v>
      </c>
      <c r="N147" s="189">
        <f t="shared" si="24"/>
        <v>0</v>
      </c>
      <c r="O147" s="189">
        <f t="shared" si="25"/>
        <v>0</v>
      </c>
    </row>
    <row r="148" spans="1:15" s="57" customFormat="1" ht="29.4" customHeight="1" x14ac:dyDescent="0.25">
      <c r="A148" s="303" t="str">
        <f>'Kalk UHR GS Deisenhofen'!A148</f>
        <v>Schule</v>
      </c>
      <c r="B148" s="303" t="str">
        <f>'Kalk UHR GS Deisenhofen'!B148</f>
        <v>EG</v>
      </c>
      <c r="C148" s="303" t="str">
        <f>'Kalk UHR GS Deisenhofen'!C148</f>
        <v>E.C.40</v>
      </c>
      <c r="D148" s="303" t="str">
        <f>'Kalk UHR GS Deisenhofen'!D148</f>
        <v>Lehrerzimmer</v>
      </c>
      <c r="E148" s="229"/>
      <c r="F148" s="195">
        <v>0</v>
      </c>
      <c r="G148" s="195">
        <v>12</v>
      </c>
      <c r="H148" s="186">
        <f t="shared" si="21"/>
        <v>0</v>
      </c>
      <c r="I148" s="549"/>
      <c r="J148" s="187"/>
      <c r="K148" s="188">
        <f t="shared" si="31"/>
        <v>0</v>
      </c>
      <c r="L148" s="548">
        <f t="shared" si="32"/>
        <v>0</v>
      </c>
      <c r="M148" s="189">
        <f t="shared" si="23"/>
        <v>0</v>
      </c>
      <c r="N148" s="189">
        <f t="shared" si="24"/>
        <v>0</v>
      </c>
      <c r="O148" s="189">
        <f t="shared" si="25"/>
        <v>0</v>
      </c>
    </row>
    <row r="149" spans="1:15" s="57" customFormat="1" ht="29.4" customHeight="1" x14ac:dyDescent="0.25">
      <c r="A149" s="303" t="str">
        <f>'Kalk UHR GS Deisenhofen'!A149</f>
        <v>Mittagsbetreuung</v>
      </c>
      <c r="B149" s="303" t="str">
        <f>'Kalk UHR GS Deisenhofen'!B149</f>
        <v>EG</v>
      </c>
      <c r="C149" s="303" t="str">
        <f>'Kalk UHR GS Deisenhofen'!C149</f>
        <v>E.C.41</v>
      </c>
      <c r="D149" s="303" t="str">
        <f>'Kalk UHR GS Deisenhofen'!D149</f>
        <v>Umkleide</v>
      </c>
      <c r="E149" s="229"/>
      <c r="F149" s="195">
        <v>0</v>
      </c>
      <c r="G149" s="195">
        <v>12</v>
      </c>
      <c r="H149" s="186">
        <f t="shared" si="21"/>
        <v>0</v>
      </c>
      <c r="I149" s="549"/>
      <c r="J149" s="187"/>
      <c r="K149" s="188">
        <f t="shared" si="31"/>
        <v>0</v>
      </c>
      <c r="L149" s="548">
        <f t="shared" si="32"/>
        <v>0</v>
      </c>
      <c r="M149" s="189">
        <f t="shared" si="23"/>
        <v>0</v>
      </c>
      <c r="N149" s="189">
        <f t="shared" si="24"/>
        <v>0</v>
      </c>
      <c r="O149" s="189">
        <f t="shared" si="25"/>
        <v>0</v>
      </c>
    </row>
    <row r="150" spans="1:15" s="57" customFormat="1" ht="29.4" customHeight="1" x14ac:dyDescent="0.25">
      <c r="A150" s="303" t="str">
        <f>'Kalk UHR GS Deisenhofen'!A150</f>
        <v>Mittagsbetreuung</v>
      </c>
      <c r="B150" s="303" t="str">
        <f>'Kalk UHR GS Deisenhofen'!B150</f>
        <v>EG</v>
      </c>
      <c r="C150" s="303" t="str">
        <f>'Kalk UHR GS Deisenhofen'!C150</f>
        <v>E.C.41a</v>
      </c>
      <c r="D150" s="303" t="str">
        <f>'Kalk UHR GS Deisenhofen'!D150</f>
        <v>Dusche</v>
      </c>
      <c r="E150" s="229"/>
      <c r="F150" s="195">
        <v>0</v>
      </c>
      <c r="G150" s="195">
        <v>12</v>
      </c>
      <c r="H150" s="186">
        <f t="shared" si="21"/>
        <v>0</v>
      </c>
      <c r="I150" s="549"/>
      <c r="J150" s="187"/>
      <c r="K150" s="188">
        <f t="shared" si="31"/>
        <v>0</v>
      </c>
      <c r="L150" s="548">
        <f t="shared" si="32"/>
        <v>0</v>
      </c>
      <c r="M150" s="189">
        <f t="shared" si="23"/>
        <v>0</v>
      </c>
      <c r="N150" s="189">
        <f t="shared" si="24"/>
        <v>0</v>
      </c>
      <c r="O150" s="189">
        <f t="shared" si="25"/>
        <v>0</v>
      </c>
    </row>
    <row r="151" spans="1:15" s="57" customFormat="1" ht="29.4" customHeight="1" x14ac:dyDescent="0.25">
      <c r="A151" s="303" t="str">
        <f>'Kalk UHR GS Deisenhofen'!A151</f>
        <v>Mittagsbetreuung</v>
      </c>
      <c r="B151" s="303" t="str">
        <f>'Kalk UHR GS Deisenhofen'!B151</f>
        <v>EG</v>
      </c>
      <c r="C151" s="303" t="str">
        <f>'Kalk UHR GS Deisenhofen'!C151</f>
        <v>E.C.42</v>
      </c>
      <c r="D151" s="303" t="str">
        <f>'Kalk UHR GS Deisenhofen'!D151</f>
        <v>Putzmittel</v>
      </c>
      <c r="E151" s="229"/>
      <c r="F151" s="195">
        <v>0</v>
      </c>
      <c r="G151" s="195">
        <v>12</v>
      </c>
      <c r="H151" s="186">
        <f t="shared" si="21"/>
        <v>0</v>
      </c>
      <c r="I151" s="549"/>
      <c r="J151" s="187"/>
      <c r="K151" s="188">
        <f t="shared" si="31"/>
        <v>0</v>
      </c>
      <c r="L151" s="548">
        <f t="shared" si="32"/>
        <v>0</v>
      </c>
      <c r="M151" s="189">
        <f t="shared" si="23"/>
        <v>0</v>
      </c>
      <c r="N151" s="189">
        <f t="shared" si="24"/>
        <v>0</v>
      </c>
      <c r="O151" s="189">
        <f t="shared" si="25"/>
        <v>0</v>
      </c>
    </row>
    <row r="152" spans="1:15" s="57" customFormat="1" ht="29.4" customHeight="1" x14ac:dyDescent="0.25">
      <c r="A152" s="303" t="str">
        <f>'Kalk UHR GS Deisenhofen'!A152</f>
        <v>Hort</v>
      </c>
      <c r="B152" s="303" t="str">
        <f>'Kalk UHR GS Deisenhofen'!B152</f>
        <v>EG</v>
      </c>
      <c r="C152" s="303" t="str">
        <f>'Kalk UHR GS Deisenhofen'!C152</f>
        <v>E.C.43</v>
      </c>
      <c r="D152" s="303" t="str">
        <f>'Kalk UHR GS Deisenhofen'!D152</f>
        <v>Büro Leitung</v>
      </c>
      <c r="E152" s="229"/>
      <c r="F152" s="195">
        <v>0</v>
      </c>
      <c r="G152" s="195">
        <v>12</v>
      </c>
      <c r="H152" s="186">
        <f t="shared" si="21"/>
        <v>0</v>
      </c>
      <c r="I152" s="549"/>
      <c r="J152" s="187"/>
      <c r="K152" s="188">
        <f t="shared" si="31"/>
        <v>0</v>
      </c>
      <c r="L152" s="548">
        <f t="shared" si="32"/>
        <v>0</v>
      </c>
      <c r="M152" s="189">
        <f t="shared" si="23"/>
        <v>0</v>
      </c>
      <c r="N152" s="189">
        <f t="shared" si="24"/>
        <v>0</v>
      </c>
      <c r="O152" s="189">
        <f t="shared" si="25"/>
        <v>0</v>
      </c>
    </row>
    <row r="153" spans="1:15" s="57" customFormat="1" ht="29.4" customHeight="1" x14ac:dyDescent="0.25">
      <c r="A153" s="303" t="str">
        <f>'Kalk UHR GS Deisenhofen'!A153</f>
        <v>Mittagsbetreuung</v>
      </c>
      <c r="B153" s="303" t="str">
        <f>'Kalk UHR GS Deisenhofen'!B153</f>
        <v>EG</v>
      </c>
      <c r="C153" s="303" t="str">
        <f>'Kalk UHR GS Deisenhofen'!C153</f>
        <v>E.C.F.10</v>
      </c>
      <c r="D153" s="303" t="str">
        <f>'Kalk UHR GS Deisenhofen'!D153</f>
        <v>Flur</v>
      </c>
      <c r="E153" s="229">
        <f>1.02*2.68+1.17*2.68</f>
        <v>5.8692000000000002</v>
      </c>
      <c r="F153" s="195">
        <v>0</v>
      </c>
      <c r="G153" s="195">
        <v>12</v>
      </c>
      <c r="H153" s="186">
        <f t="shared" si="21"/>
        <v>70.430400000000006</v>
      </c>
      <c r="I153" s="549"/>
      <c r="J153" s="187"/>
      <c r="K153" s="188">
        <f t="shared" si="31"/>
        <v>0</v>
      </c>
      <c r="L153" s="548">
        <f t="shared" si="32"/>
        <v>0</v>
      </c>
      <c r="M153" s="189">
        <f t="shared" si="23"/>
        <v>0</v>
      </c>
      <c r="N153" s="189">
        <f t="shared" si="24"/>
        <v>0</v>
      </c>
      <c r="O153" s="189">
        <f t="shared" si="25"/>
        <v>0</v>
      </c>
    </row>
    <row r="154" spans="1:15" s="57" customFormat="1" ht="29.4" customHeight="1" x14ac:dyDescent="0.25">
      <c r="A154" s="303" t="str">
        <f>'Kalk UHR GS Deisenhofen'!A154</f>
        <v>Mittagsbetreuung</v>
      </c>
      <c r="B154" s="303" t="str">
        <f>'Kalk UHR GS Deisenhofen'!B154</f>
        <v>EG</v>
      </c>
      <c r="C154" s="303" t="str">
        <f>'Kalk UHR GS Deisenhofen'!C154</f>
        <v>E.C.44</v>
      </c>
      <c r="D154" s="303" t="str">
        <f>'Kalk UHR GS Deisenhofen'!D154</f>
        <v>Technik</v>
      </c>
      <c r="E154" s="229"/>
      <c r="F154" s="195">
        <v>0</v>
      </c>
      <c r="G154" s="195">
        <v>12</v>
      </c>
      <c r="H154" s="186">
        <f t="shared" si="21"/>
        <v>0</v>
      </c>
      <c r="I154" s="549"/>
      <c r="J154" s="187"/>
      <c r="K154" s="188">
        <f t="shared" si="31"/>
        <v>0</v>
      </c>
      <c r="L154" s="548">
        <f t="shared" si="32"/>
        <v>0</v>
      </c>
      <c r="M154" s="189">
        <f t="shared" si="23"/>
        <v>0</v>
      </c>
      <c r="N154" s="189">
        <f t="shared" si="24"/>
        <v>0</v>
      </c>
      <c r="O154" s="189">
        <f t="shared" si="25"/>
        <v>0</v>
      </c>
    </row>
    <row r="155" spans="1:15" s="57" customFormat="1" ht="29.4" customHeight="1" x14ac:dyDescent="0.25">
      <c r="A155" s="303" t="str">
        <f>'Kalk UHR GS Deisenhofen'!A155</f>
        <v>Mittagsbetreuung</v>
      </c>
      <c r="B155" s="303" t="str">
        <f>'Kalk UHR GS Deisenhofen'!B155</f>
        <v>EG</v>
      </c>
      <c r="C155" s="303" t="str">
        <f>'Kalk UHR GS Deisenhofen'!C155</f>
        <v>E.C.45a</v>
      </c>
      <c r="D155" s="303" t="str">
        <f>'Kalk UHR GS Deisenhofen'!D155</f>
        <v>Küche</v>
      </c>
      <c r="E155" s="229"/>
      <c r="F155" s="195">
        <v>0</v>
      </c>
      <c r="G155" s="195">
        <v>12</v>
      </c>
      <c r="H155" s="186">
        <f t="shared" si="21"/>
        <v>0</v>
      </c>
      <c r="I155" s="549"/>
      <c r="J155" s="187"/>
      <c r="K155" s="188">
        <f t="shared" si="31"/>
        <v>0</v>
      </c>
      <c r="L155" s="548">
        <f t="shared" si="32"/>
        <v>0</v>
      </c>
      <c r="M155" s="189">
        <f t="shared" si="23"/>
        <v>0</v>
      </c>
      <c r="N155" s="189">
        <f t="shared" si="24"/>
        <v>0</v>
      </c>
      <c r="O155" s="189">
        <f t="shared" si="25"/>
        <v>0</v>
      </c>
    </row>
    <row r="156" spans="1:15" s="57" customFormat="1" ht="29.4" customHeight="1" x14ac:dyDescent="0.25">
      <c r="A156" s="303" t="str">
        <f>'Kalk UHR GS Deisenhofen'!A156</f>
        <v>Mittagsbetreuung</v>
      </c>
      <c r="B156" s="303" t="str">
        <f>'Kalk UHR GS Deisenhofen'!B156</f>
        <v>EG</v>
      </c>
      <c r="C156" s="303" t="str">
        <f>'Kalk UHR GS Deisenhofen'!C156</f>
        <v>E.C.45b</v>
      </c>
      <c r="D156" s="303" t="str">
        <f>'Kalk UHR GS Deisenhofen'!D156</f>
        <v>Anlieferung Lebensmittel</v>
      </c>
      <c r="E156" s="229"/>
      <c r="F156" s="195">
        <v>0</v>
      </c>
      <c r="G156" s="195">
        <v>12</v>
      </c>
      <c r="H156" s="186">
        <f t="shared" si="21"/>
        <v>0</v>
      </c>
      <c r="I156" s="549"/>
      <c r="J156" s="187"/>
      <c r="K156" s="188">
        <f t="shared" si="31"/>
        <v>0</v>
      </c>
      <c r="L156" s="548">
        <f t="shared" si="32"/>
        <v>0</v>
      </c>
      <c r="M156" s="189">
        <f t="shared" si="23"/>
        <v>0</v>
      </c>
      <c r="N156" s="189">
        <f t="shared" si="24"/>
        <v>0</v>
      </c>
      <c r="O156" s="189">
        <f t="shared" si="25"/>
        <v>0</v>
      </c>
    </row>
    <row r="157" spans="1:15" s="57" customFormat="1" ht="29.4" customHeight="1" x14ac:dyDescent="0.25">
      <c r="A157" s="303" t="str">
        <f>'Kalk UHR GS Deisenhofen'!A157</f>
        <v>Mittagsbetreuung</v>
      </c>
      <c r="B157" s="303" t="str">
        <f>'Kalk UHR GS Deisenhofen'!B157</f>
        <v>EG</v>
      </c>
      <c r="C157" s="303" t="str">
        <f>'Kalk UHR GS Deisenhofen'!C157</f>
        <v>E.C.45c</v>
      </c>
      <c r="D157" s="303" t="str">
        <f>'Kalk UHR GS Deisenhofen'!D157</f>
        <v>Lager Lebensmittel</v>
      </c>
      <c r="E157" s="229"/>
      <c r="F157" s="195">
        <v>0</v>
      </c>
      <c r="G157" s="195">
        <v>12</v>
      </c>
      <c r="H157" s="186">
        <f t="shared" si="21"/>
        <v>0</v>
      </c>
      <c r="I157" s="549"/>
      <c r="J157" s="187"/>
      <c r="K157" s="188">
        <f t="shared" si="31"/>
        <v>0</v>
      </c>
      <c r="L157" s="548">
        <f t="shared" si="32"/>
        <v>0</v>
      </c>
      <c r="M157" s="189">
        <f t="shared" si="23"/>
        <v>0</v>
      </c>
      <c r="N157" s="189">
        <f t="shared" si="24"/>
        <v>0</v>
      </c>
      <c r="O157" s="189">
        <f t="shared" si="25"/>
        <v>0</v>
      </c>
    </row>
    <row r="158" spans="1:15" s="57" customFormat="1" ht="29.4" customHeight="1" x14ac:dyDescent="0.25">
      <c r="A158" s="303" t="str">
        <f>'Kalk UHR GS Deisenhofen'!A158</f>
        <v>Mittagsbetreuung</v>
      </c>
      <c r="B158" s="303" t="str">
        <f>'Kalk UHR GS Deisenhofen'!B158</f>
        <v>EG</v>
      </c>
      <c r="C158" s="303" t="str">
        <f>'Kalk UHR GS Deisenhofen'!C158</f>
        <v>E.C.F.11</v>
      </c>
      <c r="D158" s="303" t="str">
        <f>'Kalk UHR GS Deisenhofen'!D158</f>
        <v>Flur</v>
      </c>
      <c r="E158" s="229">
        <f>2.68*1.16+2.268*1.03</f>
        <v>5.4448399999999992</v>
      </c>
      <c r="F158" s="195">
        <v>0</v>
      </c>
      <c r="G158" s="195">
        <v>12</v>
      </c>
      <c r="H158" s="186">
        <f t="shared" si="21"/>
        <v>65.338079999999991</v>
      </c>
      <c r="I158" s="549"/>
      <c r="J158" s="187"/>
      <c r="K158" s="188">
        <f t="shared" si="31"/>
        <v>0</v>
      </c>
      <c r="L158" s="548">
        <f t="shared" si="32"/>
        <v>0</v>
      </c>
      <c r="M158" s="189">
        <f t="shared" si="23"/>
        <v>0</v>
      </c>
      <c r="N158" s="189">
        <f t="shared" si="24"/>
        <v>0</v>
      </c>
      <c r="O158" s="189">
        <f t="shared" si="25"/>
        <v>0</v>
      </c>
    </row>
    <row r="159" spans="1:15" s="57" customFormat="1" ht="29.4" customHeight="1" x14ac:dyDescent="0.25">
      <c r="A159" s="303" t="str">
        <f>'Kalk UHR GS Deisenhofen'!A159</f>
        <v>Mittagsbetreuung</v>
      </c>
      <c r="B159" s="303" t="str">
        <f>'Kalk UHR GS Deisenhofen'!B159</f>
        <v>EG</v>
      </c>
      <c r="C159" s="303" t="str">
        <f>'Kalk UHR GS Deisenhofen'!C159</f>
        <v>E.C.46</v>
      </c>
      <c r="D159" s="303" t="str">
        <f>'Kalk UHR GS Deisenhofen'!D159</f>
        <v>Speisesaal</v>
      </c>
      <c r="E159" s="229"/>
      <c r="F159" s="195">
        <v>0</v>
      </c>
      <c r="G159" s="195">
        <v>12</v>
      </c>
      <c r="H159" s="186">
        <f t="shared" si="21"/>
        <v>0</v>
      </c>
      <c r="I159" s="549"/>
      <c r="J159" s="187"/>
      <c r="K159" s="188">
        <f t="shared" si="31"/>
        <v>0</v>
      </c>
      <c r="L159" s="548">
        <f t="shared" si="32"/>
        <v>0</v>
      </c>
      <c r="M159" s="189">
        <f t="shared" si="23"/>
        <v>0</v>
      </c>
      <c r="N159" s="189">
        <f t="shared" si="24"/>
        <v>0</v>
      </c>
      <c r="O159" s="189">
        <f t="shared" si="25"/>
        <v>0</v>
      </c>
    </row>
    <row r="160" spans="1:15" s="57" customFormat="1" ht="29.4" customHeight="1" x14ac:dyDescent="0.25">
      <c r="A160" s="303" t="str">
        <f>'Kalk UHR GS Deisenhofen'!A160</f>
        <v>Mittagsbetreuung</v>
      </c>
      <c r="B160" s="303" t="str">
        <f>'Kalk UHR GS Deisenhofen'!B160</f>
        <v>EG</v>
      </c>
      <c r="C160" s="303" t="str">
        <f>'Kalk UHR GS Deisenhofen'!C160</f>
        <v>E.C.47</v>
      </c>
      <c r="D160" s="303" t="str">
        <f>'Kalk UHR GS Deisenhofen'!D160</f>
        <v>Tanz- und Musik</v>
      </c>
      <c r="E160" s="229"/>
      <c r="F160" s="195">
        <v>0</v>
      </c>
      <c r="G160" s="195">
        <v>12</v>
      </c>
      <c r="H160" s="186">
        <f t="shared" si="21"/>
        <v>0</v>
      </c>
      <c r="I160" s="549"/>
      <c r="J160" s="187"/>
      <c r="K160" s="188">
        <f t="shared" si="31"/>
        <v>0</v>
      </c>
      <c r="L160" s="548">
        <f t="shared" si="32"/>
        <v>0</v>
      </c>
      <c r="M160" s="189">
        <f t="shared" si="23"/>
        <v>0</v>
      </c>
      <c r="N160" s="189">
        <f t="shared" si="24"/>
        <v>0</v>
      </c>
      <c r="O160" s="189">
        <f t="shared" si="25"/>
        <v>0</v>
      </c>
    </row>
    <row r="161" spans="1:15" s="57" customFormat="1" ht="29.4" customHeight="1" x14ac:dyDescent="0.25">
      <c r="A161" s="303" t="str">
        <f>'Kalk UHR GS Deisenhofen'!A161</f>
        <v>Mittagsbetreuung</v>
      </c>
      <c r="B161" s="303" t="str">
        <f>'Kalk UHR GS Deisenhofen'!B161</f>
        <v>EG</v>
      </c>
      <c r="C161" s="303" t="str">
        <f>'Kalk UHR GS Deisenhofen'!C161</f>
        <v>E.C.F.12</v>
      </c>
      <c r="D161" s="303" t="str">
        <f>'Kalk UHR GS Deisenhofen'!D161</f>
        <v>Flur</v>
      </c>
      <c r="E161" s="229">
        <f>2.46*2.7</f>
        <v>6.6420000000000003</v>
      </c>
      <c r="F161" s="195">
        <v>0</v>
      </c>
      <c r="G161" s="195">
        <v>12</v>
      </c>
      <c r="H161" s="186">
        <f t="shared" si="21"/>
        <v>79.704000000000008</v>
      </c>
      <c r="I161" s="549"/>
      <c r="J161" s="187"/>
      <c r="K161" s="188">
        <f t="shared" si="31"/>
        <v>0</v>
      </c>
      <c r="L161" s="548">
        <f t="shared" si="32"/>
        <v>0</v>
      </c>
      <c r="M161" s="189">
        <f t="shared" si="23"/>
        <v>0</v>
      </c>
      <c r="N161" s="189">
        <f t="shared" si="24"/>
        <v>0</v>
      </c>
      <c r="O161" s="189">
        <f t="shared" si="25"/>
        <v>0</v>
      </c>
    </row>
    <row r="162" spans="1:15" s="57" customFormat="1" ht="29.4" customHeight="1" x14ac:dyDescent="0.25">
      <c r="A162" s="303" t="str">
        <f>'Kalk UHR GS Deisenhofen'!A162</f>
        <v>Mittagsbetreuung</v>
      </c>
      <c r="B162" s="303" t="str">
        <f>'Kalk UHR GS Deisenhofen'!B162</f>
        <v>EG</v>
      </c>
      <c r="C162" s="303" t="str">
        <f>'Kalk UHR GS Deisenhofen'!C162</f>
        <v>E.C.48</v>
      </c>
      <c r="D162" s="303" t="str">
        <f>'Kalk UHR GS Deisenhofen'!D162</f>
        <v>Experimentierraum</v>
      </c>
      <c r="E162" s="229"/>
      <c r="F162" s="195">
        <v>0</v>
      </c>
      <c r="G162" s="195">
        <v>12</v>
      </c>
      <c r="H162" s="186">
        <f t="shared" si="21"/>
        <v>0</v>
      </c>
      <c r="I162" s="549"/>
      <c r="J162" s="187"/>
      <c r="K162" s="188">
        <f t="shared" si="31"/>
        <v>0</v>
      </c>
      <c r="L162" s="548">
        <f t="shared" si="32"/>
        <v>0</v>
      </c>
      <c r="M162" s="189">
        <f t="shared" si="23"/>
        <v>0</v>
      </c>
      <c r="N162" s="189">
        <f t="shared" si="24"/>
        <v>0</v>
      </c>
      <c r="O162" s="189">
        <f t="shared" si="25"/>
        <v>0</v>
      </c>
    </row>
    <row r="163" spans="1:15" s="57" customFormat="1" ht="29.4" customHeight="1" x14ac:dyDescent="0.25">
      <c r="A163" s="303" t="str">
        <f>'Kalk UHR GS Deisenhofen'!A163</f>
        <v>Mittagsbetreuung</v>
      </c>
      <c r="B163" s="303" t="str">
        <f>'Kalk UHR GS Deisenhofen'!B163</f>
        <v>EG</v>
      </c>
      <c r="C163" s="303" t="str">
        <f>'Kalk UHR GS Deisenhofen'!C163</f>
        <v>E.C.49</v>
      </c>
      <c r="D163" s="303" t="str">
        <f>'Kalk UHR GS Deisenhofen'!D163</f>
        <v>Holzwerkstatt</v>
      </c>
      <c r="E163" s="229"/>
      <c r="F163" s="195">
        <v>0</v>
      </c>
      <c r="G163" s="195">
        <v>12</v>
      </c>
      <c r="H163" s="186">
        <f t="shared" si="21"/>
        <v>0</v>
      </c>
      <c r="I163" s="549"/>
      <c r="J163" s="187"/>
      <c r="K163" s="188">
        <f t="shared" si="31"/>
        <v>0</v>
      </c>
      <c r="L163" s="548">
        <f t="shared" si="32"/>
        <v>0</v>
      </c>
      <c r="M163" s="189">
        <f t="shared" si="23"/>
        <v>0</v>
      </c>
      <c r="N163" s="189">
        <f t="shared" si="24"/>
        <v>0</v>
      </c>
      <c r="O163" s="189">
        <f t="shared" si="25"/>
        <v>0</v>
      </c>
    </row>
    <row r="164" spans="1:15" s="57" customFormat="1" ht="29.4" customHeight="1" x14ac:dyDescent="0.25">
      <c r="A164" s="303" t="str">
        <f>'Kalk UHR GS Deisenhofen'!A164</f>
        <v>Mittagsbetreuung</v>
      </c>
      <c r="B164" s="303" t="str">
        <f>'Kalk UHR GS Deisenhofen'!B164</f>
        <v>EG</v>
      </c>
      <c r="C164" s="303" t="str">
        <f>'Kalk UHR GS Deisenhofen'!C164</f>
        <v>E.C.50</v>
      </c>
      <c r="D164" s="303" t="str">
        <f>'Kalk UHR GS Deisenhofen'!D164</f>
        <v>Kreativraum Kunst</v>
      </c>
      <c r="E164" s="229"/>
      <c r="F164" s="195">
        <v>0</v>
      </c>
      <c r="G164" s="195">
        <v>12</v>
      </c>
      <c r="H164" s="186">
        <f t="shared" si="21"/>
        <v>0</v>
      </c>
      <c r="I164" s="549"/>
      <c r="J164" s="187"/>
      <c r="K164" s="188">
        <f t="shared" si="31"/>
        <v>0</v>
      </c>
      <c r="L164" s="548">
        <f t="shared" si="32"/>
        <v>0</v>
      </c>
      <c r="M164" s="189">
        <f t="shared" si="23"/>
        <v>0</v>
      </c>
      <c r="N164" s="189">
        <f t="shared" si="24"/>
        <v>0</v>
      </c>
      <c r="O164" s="189">
        <f t="shared" si="25"/>
        <v>0</v>
      </c>
    </row>
    <row r="165" spans="1:15" s="57" customFormat="1" ht="29.4" customHeight="1" x14ac:dyDescent="0.25">
      <c r="A165" s="303" t="str">
        <f>'Kalk UHR GS Deisenhofen'!A165</f>
        <v>Mittagsbetreuung</v>
      </c>
      <c r="B165" s="303" t="str">
        <f>'Kalk UHR GS Deisenhofen'!B165</f>
        <v>EG</v>
      </c>
      <c r="C165" s="303" t="str">
        <f>'Kalk UHR GS Deisenhofen'!C165</f>
        <v>E.C.F.13</v>
      </c>
      <c r="D165" s="303" t="str">
        <f>'Kalk UHR GS Deisenhofen'!D165</f>
        <v>Flur</v>
      </c>
      <c r="E165" s="229"/>
      <c r="F165" s="195">
        <v>0</v>
      </c>
      <c r="G165" s="195">
        <v>12</v>
      </c>
      <c r="H165" s="186">
        <f t="shared" si="21"/>
        <v>0</v>
      </c>
      <c r="I165" s="549"/>
      <c r="J165" s="187"/>
      <c r="K165" s="188">
        <f t="shared" si="31"/>
        <v>0</v>
      </c>
      <c r="L165" s="548">
        <f t="shared" si="32"/>
        <v>0</v>
      </c>
      <c r="M165" s="189">
        <f t="shared" si="23"/>
        <v>0</v>
      </c>
      <c r="N165" s="189">
        <f t="shared" si="24"/>
        <v>0</v>
      </c>
      <c r="O165" s="189">
        <f t="shared" si="25"/>
        <v>0</v>
      </c>
    </row>
    <row r="166" spans="1:15" s="57" customFormat="1" ht="29.4" customHeight="1" x14ac:dyDescent="0.25">
      <c r="A166" s="303" t="str">
        <f>'Kalk UHR GS Deisenhofen'!A166</f>
        <v>Mittagsbetreuung</v>
      </c>
      <c r="B166" s="303" t="str">
        <f>'Kalk UHR GS Deisenhofen'!B166</f>
        <v>EG</v>
      </c>
      <c r="C166" s="303" t="str">
        <f>'Kalk UHR GS Deisenhofen'!C166</f>
        <v>E.C.T.06</v>
      </c>
      <c r="D166" s="303" t="str">
        <f>'Kalk UHR GS Deisenhofen'!D166</f>
        <v>Treppe</v>
      </c>
      <c r="E166" s="229">
        <f>2.73*0.36+2.73*1.12+2.1*0.32+2.1*1.17</f>
        <v>7.1693999999999996</v>
      </c>
      <c r="F166" s="195">
        <v>0</v>
      </c>
      <c r="G166" s="195">
        <v>12</v>
      </c>
      <c r="H166" s="186">
        <f t="shared" si="21"/>
        <v>86.032799999999995</v>
      </c>
      <c r="I166" s="549"/>
      <c r="J166" s="187"/>
      <c r="K166" s="188">
        <f t="shared" si="31"/>
        <v>0</v>
      </c>
      <c r="L166" s="548">
        <f t="shared" si="32"/>
        <v>0</v>
      </c>
      <c r="M166" s="189">
        <f t="shared" si="23"/>
        <v>0</v>
      </c>
      <c r="N166" s="189">
        <f t="shared" si="24"/>
        <v>0</v>
      </c>
      <c r="O166" s="189">
        <f t="shared" si="25"/>
        <v>0</v>
      </c>
    </row>
    <row r="167" spans="1:15" s="57" customFormat="1" ht="29.4" customHeight="1" x14ac:dyDescent="0.25">
      <c r="A167" s="303" t="str">
        <f>'Kalk UHR GS Deisenhofen'!A167</f>
        <v>Hort</v>
      </c>
      <c r="B167" s="303" t="str">
        <f>'Kalk UHR GS Deisenhofen'!B167</f>
        <v>EG</v>
      </c>
      <c r="C167" s="303" t="str">
        <f>'Kalk UHR GS Deisenhofen'!C167</f>
        <v>E.D.T.07</v>
      </c>
      <c r="D167" s="303" t="str">
        <f>'Kalk UHR GS Deisenhofen'!D167</f>
        <v>Treppe</v>
      </c>
      <c r="E167" s="229">
        <f>2.11*1.12</f>
        <v>2.3632</v>
      </c>
      <c r="F167" s="195">
        <v>0</v>
      </c>
      <c r="G167" s="195">
        <v>12</v>
      </c>
      <c r="H167" s="186">
        <f t="shared" si="21"/>
        <v>28.3584</v>
      </c>
      <c r="I167" s="549"/>
      <c r="J167" s="187"/>
      <c r="K167" s="188">
        <f t="shared" si="31"/>
        <v>0</v>
      </c>
      <c r="L167" s="548">
        <f t="shared" si="32"/>
        <v>0</v>
      </c>
      <c r="M167" s="189">
        <f t="shared" si="23"/>
        <v>0</v>
      </c>
      <c r="N167" s="189">
        <f t="shared" si="24"/>
        <v>0</v>
      </c>
      <c r="O167" s="189">
        <f t="shared" si="25"/>
        <v>0</v>
      </c>
    </row>
    <row r="168" spans="1:15" s="57" customFormat="1" ht="29.4" customHeight="1" x14ac:dyDescent="0.25">
      <c r="A168" s="303" t="str">
        <f>'Kalk UHR GS Deisenhofen'!A168</f>
        <v>Schule</v>
      </c>
      <c r="B168" s="303" t="str">
        <f>'Kalk UHR GS Deisenhofen'!B168</f>
        <v>EG</v>
      </c>
      <c r="C168" s="303" t="str">
        <f>'Kalk UHR GS Deisenhofen'!C168</f>
        <v>E.D.59</v>
      </c>
      <c r="D168" s="303" t="str">
        <f>'Kalk UHR GS Deisenhofen'!D168</f>
        <v>Werken</v>
      </c>
      <c r="E168" s="229"/>
      <c r="F168" s="195">
        <v>0</v>
      </c>
      <c r="G168" s="195">
        <v>12</v>
      </c>
      <c r="H168" s="186">
        <f t="shared" si="21"/>
        <v>0</v>
      </c>
      <c r="I168" s="549"/>
      <c r="J168" s="187"/>
      <c r="K168" s="188">
        <f t="shared" si="31"/>
        <v>0</v>
      </c>
      <c r="L168" s="548">
        <f t="shared" si="32"/>
        <v>0</v>
      </c>
      <c r="M168" s="189">
        <f t="shared" si="23"/>
        <v>0</v>
      </c>
      <c r="N168" s="189">
        <f t="shared" si="24"/>
        <v>0</v>
      </c>
      <c r="O168" s="189">
        <f t="shared" si="25"/>
        <v>0</v>
      </c>
    </row>
    <row r="169" spans="1:15" s="57" customFormat="1" ht="29.4" customHeight="1" x14ac:dyDescent="0.25">
      <c r="A169" s="303" t="str">
        <f>'Kalk UHR GS Deisenhofen'!A169</f>
        <v>Schule</v>
      </c>
      <c r="B169" s="303" t="str">
        <f>'Kalk UHR GS Deisenhofen'!B169</f>
        <v>EG</v>
      </c>
      <c r="C169" s="303" t="str">
        <f>'Kalk UHR GS Deisenhofen'!C169</f>
        <v>E.D.60</v>
      </c>
      <c r="D169" s="303" t="str">
        <f>'Kalk UHR GS Deisenhofen'!D169</f>
        <v>Nebenraum Werken</v>
      </c>
      <c r="E169" s="229"/>
      <c r="F169" s="195">
        <v>0</v>
      </c>
      <c r="G169" s="195">
        <v>12</v>
      </c>
      <c r="H169" s="186">
        <f t="shared" si="21"/>
        <v>0</v>
      </c>
      <c r="I169" s="549"/>
      <c r="J169" s="187"/>
      <c r="K169" s="188">
        <f t="shared" si="31"/>
        <v>0</v>
      </c>
      <c r="L169" s="548">
        <f t="shared" si="32"/>
        <v>0</v>
      </c>
      <c r="M169" s="189">
        <f t="shared" si="23"/>
        <v>0</v>
      </c>
      <c r="N169" s="189">
        <f t="shared" si="24"/>
        <v>0</v>
      </c>
      <c r="O169" s="189">
        <f t="shared" si="25"/>
        <v>0</v>
      </c>
    </row>
    <row r="170" spans="1:15" s="57" customFormat="1" ht="29.4" customHeight="1" x14ac:dyDescent="0.25">
      <c r="A170" s="303" t="str">
        <f>'Kalk UHR GS Deisenhofen'!A170</f>
        <v>Schule</v>
      </c>
      <c r="B170" s="303" t="str">
        <f>'Kalk UHR GS Deisenhofen'!B170</f>
        <v>EG</v>
      </c>
      <c r="C170" s="303" t="str">
        <f>'Kalk UHR GS Deisenhofen'!C170</f>
        <v>E.D.61</v>
      </c>
      <c r="D170" s="303" t="str">
        <f>'Kalk UHR GS Deisenhofen'!D170</f>
        <v>Nebenraum</v>
      </c>
      <c r="E170" s="229"/>
      <c r="F170" s="195">
        <v>0</v>
      </c>
      <c r="G170" s="195">
        <v>12</v>
      </c>
      <c r="H170" s="186">
        <f t="shared" si="21"/>
        <v>0</v>
      </c>
      <c r="I170" s="549"/>
      <c r="J170" s="187"/>
      <c r="K170" s="188">
        <f t="shared" si="31"/>
        <v>0</v>
      </c>
      <c r="L170" s="548">
        <f t="shared" si="32"/>
        <v>0</v>
      </c>
      <c r="M170" s="189">
        <f t="shared" si="23"/>
        <v>0</v>
      </c>
      <c r="N170" s="189">
        <f t="shared" si="24"/>
        <v>0</v>
      </c>
      <c r="O170" s="189">
        <f t="shared" si="25"/>
        <v>0</v>
      </c>
    </row>
    <row r="171" spans="1:15" s="57" customFormat="1" ht="29.4" customHeight="1" x14ac:dyDescent="0.25">
      <c r="A171" s="303" t="str">
        <f>'Kalk UHR GS Deisenhofen'!A171</f>
        <v>Schule</v>
      </c>
      <c r="B171" s="303" t="str">
        <f>'Kalk UHR GS Deisenhofen'!B171</f>
        <v>EG</v>
      </c>
      <c r="C171" s="303" t="str">
        <f>'Kalk UHR GS Deisenhofen'!C171</f>
        <v>E.D.62</v>
      </c>
      <c r="D171" s="303" t="str">
        <f>'Kalk UHR GS Deisenhofen'!D171</f>
        <v>Textilraum</v>
      </c>
      <c r="E171" s="229"/>
      <c r="F171" s="195">
        <v>0</v>
      </c>
      <c r="G171" s="195">
        <v>12</v>
      </c>
      <c r="H171" s="186">
        <f t="shared" si="21"/>
        <v>0</v>
      </c>
      <c r="I171" s="549"/>
      <c r="J171" s="187"/>
      <c r="K171" s="188">
        <f t="shared" si="31"/>
        <v>0</v>
      </c>
      <c r="L171" s="548">
        <f t="shared" si="32"/>
        <v>0</v>
      </c>
      <c r="M171" s="189">
        <f t="shared" si="23"/>
        <v>0</v>
      </c>
      <c r="N171" s="189">
        <f t="shared" si="24"/>
        <v>0</v>
      </c>
      <c r="O171" s="189">
        <f t="shared" si="25"/>
        <v>0</v>
      </c>
    </row>
    <row r="172" spans="1:15" s="57" customFormat="1" ht="29.4" customHeight="1" x14ac:dyDescent="0.25">
      <c r="A172" s="303" t="str">
        <f>'Kalk UHR GS Deisenhofen'!A172</f>
        <v>Schule</v>
      </c>
      <c r="B172" s="303" t="str">
        <f>'Kalk UHR GS Deisenhofen'!B172</f>
        <v>EG</v>
      </c>
      <c r="C172" s="303" t="str">
        <f>'Kalk UHR GS Deisenhofen'!C172</f>
        <v>E.D.T.08</v>
      </c>
      <c r="D172" s="303" t="str">
        <f>'Kalk UHR GS Deisenhofen'!D172</f>
        <v>Treppe</v>
      </c>
      <c r="E172" s="229">
        <f>2.1*2+2.1*2</f>
        <v>8.4</v>
      </c>
      <c r="F172" s="195">
        <v>0</v>
      </c>
      <c r="G172" s="195">
        <v>12</v>
      </c>
      <c r="H172" s="186">
        <f t="shared" si="21"/>
        <v>100.80000000000001</v>
      </c>
      <c r="I172" s="549"/>
      <c r="J172" s="187"/>
      <c r="K172" s="188">
        <f t="shared" si="31"/>
        <v>0</v>
      </c>
      <c r="L172" s="548">
        <f t="shared" si="32"/>
        <v>0</v>
      </c>
      <c r="M172" s="189">
        <f t="shared" si="23"/>
        <v>0</v>
      </c>
      <c r="N172" s="189">
        <f t="shared" si="24"/>
        <v>0</v>
      </c>
      <c r="O172" s="189">
        <f t="shared" si="25"/>
        <v>0</v>
      </c>
    </row>
    <row r="173" spans="1:15" s="57" customFormat="1" ht="29.4" customHeight="1" x14ac:dyDescent="0.25">
      <c r="A173" s="303" t="str">
        <f>'Kalk UHR GS Deisenhofen'!A173</f>
        <v>Schule</v>
      </c>
      <c r="B173" s="303" t="str">
        <f>'Kalk UHR GS Deisenhofen'!B173</f>
        <v>EG</v>
      </c>
      <c r="C173" s="303" t="str">
        <f>'Kalk UHR GS Deisenhofen'!C173</f>
        <v>E.D.F.16</v>
      </c>
      <c r="D173" s="303" t="str">
        <f>'Kalk UHR GS Deisenhofen'!D173</f>
        <v>Flur</v>
      </c>
      <c r="E173" s="229">
        <f>1.95*0.33+1.88*1.17+1.88*0.33+2.1*1.95</f>
        <v>7.5584999999999996</v>
      </c>
      <c r="F173" s="195">
        <v>0</v>
      </c>
      <c r="G173" s="195">
        <v>12</v>
      </c>
      <c r="H173" s="186">
        <f t="shared" si="21"/>
        <v>90.701999999999998</v>
      </c>
      <c r="I173" s="549"/>
      <c r="J173" s="187"/>
      <c r="K173" s="188">
        <f t="shared" si="31"/>
        <v>0</v>
      </c>
      <c r="L173" s="548">
        <f t="shared" si="32"/>
        <v>0</v>
      </c>
      <c r="M173" s="189">
        <f t="shared" si="23"/>
        <v>0</v>
      </c>
      <c r="N173" s="189">
        <f t="shared" si="24"/>
        <v>0</v>
      </c>
      <c r="O173" s="189">
        <f t="shared" si="25"/>
        <v>0</v>
      </c>
    </row>
    <row r="174" spans="1:15" s="57" customFormat="1" ht="29.4" customHeight="1" x14ac:dyDescent="0.25">
      <c r="A174" s="303" t="str">
        <f>'Kalk UHR GS Deisenhofen'!A174</f>
        <v>Schule</v>
      </c>
      <c r="B174" s="303" t="str">
        <f>'Kalk UHR GS Deisenhofen'!B174</f>
        <v>EG</v>
      </c>
      <c r="C174" s="303" t="str">
        <f>'Kalk UHR GS Deisenhofen'!C174</f>
        <v>E.D.51</v>
      </c>
      <c r="D174" s="303" t="str">
        <f>'Kalk UHR GS Deisenhofen'!D174</f>
        <v>Hausmeisterbüro</v>
      </c>
      <c r="E174" s="229"/>
      <c r="F174" s="195">
        <v>0</v>
      </c>
      <c r="G174" s="195">
        <v>12</v>
      </c>
      <c r="H174" s="186">
        <f t="shared" si="21"/>
        <v>0</v>
      </c>
      <c r="I174" s="549"/>
      <c r="J174" s="187"/>
      <c r="K174" s="188">
        <f t="shared" si="31"/>
        <v>0</v>
      </c>
      <c r="L174" s="548">
        <f t="shared" si="32"/>
        <v>0</v>
      </c>
      <c r="M174" s="189">
        <f t="shared" si="23"/>
        <v>0</v>
      </c>
      <c r="N174" s="189">
        <f t="shared" si="24"/>
        <v>0</v>
      </c>
      <c r="O174" s="189">
        <f t="shared" si="25"/>
        <v>0</v>
      </c>
    </row>
    <row r="175" spans="1:15" s="57" customFormat="1" ht="29.4" customHeight="1" x14ac:dyDescent="0.25">
      <c r="A175" s="303" t="str">
        <f>'Kalk UHR GS Deisenhofen'!A175</f>
        <v>Schule</v>
      </c>
      <c r="B175" s="303" t="str">
        <f>'Kalk UHR GS Deisenhofen'!B175</f>
        <v>EG</v>
      </c>
      <c r="C175" s="303" t="str">
        <f>'Kalk UHR GS Deisenhofen'!C175</f>
        <v>E.D.52</v>
      </c>
      <c r="D175" s="303" t="str">
        <f>'Kalk UHR GS Deisenhofen'!D175</f>
        <v>WC-Jungen</v>
      </c>
      <c r="E175" s="229"/>
      <c r="F175" s="195">
        <v>0</v>
      </c>
      <c r="G175" s="195">
        <v>12</v>
      </c>
      <c r="H175" s="186">
        <f t="shared" si="21"/>
        <v>0</v>
      </c>
      <c r="I175" s="549"/>
      <c r="J175" s="187"/>
      <c r="K175" s="188">
        <f t="shared" si="31"/>
        <v>0</v>
      </c>
      <c r="L175" s="548">
        <f t="shared" si="32"/>
        <v>0</v>
      </c>
      <c r="M175" s="189">
        <f t="shared" si="23"/>
        <v>0</v>
      </c>
      <c r="N175" s="189">
        <f t="shared" si="24"/>
        <v>0</v>
      </c>
      <c r="O175" s="189">
        <f t="shared" si="25"/>
        <v>0</v>
      </c>
    </row>
    <row r="176" spans="1:15" s="57" customFormat="1" ht="29.4" customHeight="1" x14ac:dyDescent="0.25">
      <c r="A176" s="303" t="str">
        <f>'Kalk UHR GS Deisenhofen'!A176</f>
        <v>Schule</v>
      </c>
      <c r="B176" s="303" t="str">
        <f>'Kalk UHR GS Deisenhofen'!B176</f>
        <v>EG</v>
      </c>
      <c r="C176" s="303" t="str">
        <f>'Kalk UHR GS Deisenhofen'!C176</f>
        <v>E.D.53</v>
      </c>
      <c r="D176" s="303" t="str">
        <f>'Kalk UHR GS Deisenhofen'!D176</f>
        <v>WC-Behinderte</v>
      </c>
      <c r="E176" s="229"/>
      <c r="F176" s="195">
        <v>0</v>
      </c>
      <c r="G176" s="195">
        <v>12</v>
      </c>
      <c r="H176" s="186">
        <f t="shared" si="21"/>
        <v>0</v>
      </c>
      <c r="I176" s="549"/>
      <c r="J176" s="187"/>
      <c r="K176" s="188">
        <f t="shared" si="31"/>
        <v>0</v>
      </c>
      <c r="L176" s="548">
        <f t="shared" si="32"/>
        <v>0</v>
      </c>
      <c r="M176" s="189">
        <f t="shared" si="23"/>
        <v>0</v>
      </c>
      <c r="N176" s="189">
        <f t="shared" si="24"/>
        <v>0</v>
      </c>
      <c r="O176" s="189">
        <f t="shared" si="25"/>
        <v>0</v>
      </c>
    </row>
    <row r="177" spans="1:15" s="57" customFormat="1" ht="29.4" customHeight="1" x14ac:dyDescent="0.25">
      <c r="A177" s="303" t="str">
        <f>'Kalk UHR GS Deisenhofen'!A177</f>
        <v>Schule</v>
      </c>
      <c r="B177" s="303" t="str">
        <f>'Kalk UHR GS Deisenhofen'!B177</f>
        <v>EG</v>
      </c>
      <c r="C177" s="303" t="str">
        <f>'Kalk UHR GS Deisenhofen'!C177</f>
        <v>E.D.54</v>
      </c>
      <c r="D177" s="303" t="str">
        <f>'Kalk UHR GS Deisenhofen'!D177</f>
        <v>WC-Mädchen</v>
      </c>
      <c r="E177" s="229"/>
      <c r="F177" s="195">
        <v>0</v>
      </c>
      <c r="G177" s="195">
        <v>12</v>
      </c>
      <c r="H177" s="186">
        <f t="shared" si="21"/>
        <v>0</v>
      </c>
      <c r="I177" s="549"/>
      <c r="J177" s="187"/>
      <c r="K177" s="188">
        <f t="shared" si="31"/>
        <v>0</v>
      </c>
      <c r="L177" s="548">
        <f t="shared" si="32"/>
        <v>0</v>
      </c>
      <c r="M177" s="189">
        <f t="shared" si="23"/>
        <v>0</v>
      </c>
      <c r="N177" s="189">
        <f t="shared" si="24"/>
        <v>0</v>
      </c>
      <c r="O177" s="189">
        <f t="shared" si="25"/>
        <v>0</v>
      </c>
    </row>
    <row r="178" spans="1:15" s="57" customFormat="1" ht="29.4" customHeight="1" x14ac:dyDescent="0.25">
      <c r="A178" s="303" t="str">
        <f>'Kalk UHR GS Deisenhofen'!A178</f>
        <v>Hort</v>
      </c>
      <c r="B178" s="303" t="str">
        <f>'Kalk UHR GS Deisenhofen'!B178</f>
        <v>EG</v>
      </c>
      <c r="C178" s="303" t="str">
        <f>'Kalk UHR GS Deisenhofen'!C178</f>
        <v>E.D.F.18</v>
      </c>
      <c r="D178" s="303" t="str">
        <f>'Kalk UHR GS Deisenhofen'!D178</f>
        <v>Flur</v>
      </c>
      <c r="E178" s="229"/>
      <c r="F178" s="195">
        <v>0</v>
      </c>
      <c r="G178" s="195">
        <v>12</v>
      </c>
      <c r="H178" s="186">
        <f t="shared" si="21"/>
        <v>0</v>
      </c>
      <c r="I178" s="549"/>
      <c r="J178" s="187"/>
      <c r="K178" s="188">
        <f t="shared" si="31"/>
        <v>0</v>
      </c>
      <c r="L178" s="548">
        <f t="shared" si="32"/>
        <v>0</v>
      </c>
      <c r="M178" s="189">
        <f t="shared" si="23"/>
        <v>0</v>
      </c>
      <c r="N178" s="189">
        <f t="shared" si="24"/>
        <v>0</v>
      </c>
      <c r="O178" s="189">
        <f t="shared" si="25"/>
        <v>0</v>
      </c>
    </row>
    <row r="179" spans="1:15" s="57" customFormat="1" ht="29.4" customHeight="1" x14ac:dyDescent="0.25">
      <c r="A179" s="303" t="str">
        <f>'Kalk UHR GS Deisenhofen'!A179</f>
        <v>Hort</v>
      </c>
      <c r="B179" s="303" t="str">
        <f>'Kalk UHR GS Deisenhofen'!B179</f>
        <v>EG</v>
      </c>
      <c r="C179" s="303" t="str">
        <f>'Kalk UHR GS Deisenhofen'!C179</f>
        <v>E.D.55</v>
      </c>
      <c r="D179" s="303" t="str">
        <f>'Kalk UHR GS Deisenhofen'!D179</f>
        <v>Ruheraum</v>
      </c>
      <c r="E179" s="229"/>
      <c r="F179" s="195">
        <v>0</v>
      </c>
      <c r="G179" s="195">
        <v>12</v>
      </c>
      <c r="H179" s="186">
        <f t="shared" si="21"/>
        <v>0</v>
      </c>
      <c r="I179" s="549"/>
      <c r="J179" s="187"/>
      <c r="K179" s="188">
        <f t="shared" si="31"/>
        <v>0</v>
      </c>
      <c r="L179" s="548">
        <f t="shared" si="32"/>
        <v>0</v>
      </c>
      <c r="M179" s="189">
        <f t="shared" si="23"/>
        <v>0</v>
      </c>
      <c r="N179" s="189">
        <f t="shared" si="24"/>
        <v>0</v>
      </c>
      <c r="O179" s="189">
        <f t="shared" si="25"/>
        <v>0</v>
      </c>
    </row>
    <row r="180" spans="1:15" s="57" customFormat="1" ht="29.4" customHeight="1" x14ac:dyDescent="0.25">
      <c r="A180" s="303" t="str">
        <f>'Kalk UHR GS Deisenhofen'!A180</f>
        <v>Hort</v>
      </c>
      <c r="B180" s="303" t="str">
        <f>'Kalk UHR GS Deisenhofen'!B180</f>
        <v>EG</v>
      </c>
      <c r="C180" s="303" t="str">
        <f>'Kalk UHR GS Deisenhofen'!C180</f>
        <v>E.D.56</v>
      </c>
      <c r="D180" s="303" t="str">
        <f>'Kalk UHR GS Deisenhofen'!D180</f>
        <v>WC-Mädchen</v>
      </c>
      <c r="E180" s="229"/>
      <c r="F180" s="195">
        <v>0</v>
      </c>
      <c r="G180" s="195">
        <v>12</v>
      </c>
      <c r="H180" s="186">
        <f t="shared" si="21"/>
        <v>0</v>
      </c>
      <c r="I180" s="549"/>
      <c r="J180" s="187"/>
      <c r="K180" s="188">
        <f t="shared" si="31"/>
        <v>0</v>
      </c>
      <c r="L180" s="548">
        <f t="shared" si="32"/>
        <v>0</v>
      </c>
      <c r="M180" s="189">
        <f t="shared" si="23"/>
        <v>0</v>
      </c>
      <c r="N180" s="189">
        <f t="shared" si="24"/>
        <v>0</v>
      </c>
      <c r="O180" s="189">
        <f t="shared" si="25"/>
        <v>0</v>
      </c>
    </row>
    <row r="181" spans="1:15" s="57" customFormat="1" ht="29.4" customHeight="1" x14ac:dyDescent="0.25">
      <c r="A181" s="303" t="str">
        <f>'Kalk UHR GS Deisenhofen'!A181</f>
        <v>Hort</v>
      </c>
      <c r="B181" s="303" t="str">
        <f>'Kalk UHR GS Deisenhofen'!B181</f>
        <v>EG</v>
      </c>
      <c r="C181" s="303" t="str">
        <f>'Kalk UHR GS Deisenhofen'!C181</f>
        <v>E.D.56a</v>
      </c>
      <c r="D181" s="303" t="str">
        <f>'Kalk UHR GS Deisenhofen'!D181</f>
        <v>Putzmittel</v>
      </c>
      <c r="E181" s="229"/>
      <c r="F181" s="195">
        <v>0</v>
      </c>
      <c r="G181" s="195">
        <v>12</v>
      </c>
      <c r="H181" s="186">
        <f t="shared" si="21"/>
        <v>0</v>
      </c>
      <c r="I181" s="549"/>
      <c r="J181" s="187"/>
      <c r="K181" s="188">
        <f t="shared" si="31"/>
        <v>0</v>
      </c>
      <c r="L181" s="548">
        <f t="shared" si="32"/>
        <v>0</v>
      </c>
      <c r="M181" s="189">
        <f t="shared" si="23"/>
        <v>0</v>
      </c>
      <c r="N181" s="189">
        <f t="shared" si="24"/>
        <v>0</v>
      </c>
      <c r="O181" s="189">
        <f t="shared" si="25"/>
        <v>0</v>
      </c>
    </row>
    <row r="182" spans="1:15" s="57" customFormat="1" ht="29.4" customHeight="1" x14ac:dyDescent="0.25">
      <c r="A182" s="303" t="str">
        <f>'Kalk UHR GS Deisenhofen'!A182</f>
        <v>Hort</v>
      </c>
      <c r="B182" s="303" t="str">
        <f>'Kalk UHR GS Deisenhofen'!B182</f>
        <v>EG</v>
      </c>
      <c r="C182" s="303" t="str">
        <f>'Kalk UHR GS Deisenhofen'!C182</f>
        <v>E.D.57</v>
      </c>
      <c r="D182" s="303" t="str">
        <f>'Kalk UHR GS Deisenhofen'!D182</f>
        <v>WC-Lehrer</v>
      </c>
      <c r="E182" s="229"/>
      <c r="F182" s="195">
        <v>0</v>
      </c>
      <c r="G182" s="195">
        <v>12</v>
      </c>
      <c r="H182" s="186">
        <f t="shared" si="21"/>
        <v>0</v>
      </c>
      <c r="I182" s="549"/>
      <c r="J182" s="187"/>
      <c r="K182" s="188">
        <f t="shared" si="31"/>
        <v>0</v>
      </c>
      <c r="L182" s="548">
        <f t="shared" si="32"/>
        <v>0</v>
      </c>
      <c r="M182" s="189">
        <f t="shared" si="23"/>
        <v>0</v>
      </c>
      <c r="N182" s="189">
        <f t="shared" si="24"/>
        <v>0</v>
      </c>
      <c r="O182" s="189">
        <f t="shared" si="25"/>
        <v>0</v>
      </c>
    </row>
    <row r="183" spans="1:15" s="57" customFormat="1" ht="29.4" customHeight="1" x14ac:dyDescent="0.25">
      <c r="A183" s="303" t="str">
        <f>'Kalk UHR GS Deisenhofen'!A183</f>
        <v>Hort</v>
      </c>
      <c r="B183" s="303" t="str">
        <f>'Kalk UHR GS Deisenhofen'!B183</f>
        <v>EG</v>
      </c>
      <c r="C183" s="303" t="str">
        <f>'Kalk UHR GS Deisenhofen'!C183</f>
        <v>E.D.58</v>
      </c>
      <c r="D183" s="303" t="str">
        <f>'Kalk UHR GS Deisenhofen'!D183</f>
        <v>WC-Jungen</v>
      </c>
      <c r="E183" s="229"/>
      <c r="F183" s="195">
        <v>0</v>
      </c>
      <c r="G183" s="195">
        <v>12</v>
      </c>
      <c r="H183" s="186">
        <f t="shared" si="21"/>
        <v>0</v>
      </c>
      <c r="I183" s="549"/>
      <c r="J183" s="187"/>
      <c r="K183" s="188">
        <f t="shared" si="31"/>
        <v>0</v>
      </c>
      <c r="L183" s="548">
        <f t="shared" si="32"/>
        <v>0</v>
      </c>
      <c r="M183" s="189">
        <f t="shared" si="23"/>
        <v>0</v>
      </c>
      <c r="N183" s="189">
        <f t="shared" si="24"/>
        <v>0</v>
      </c>
      <c r="O183" s="189">
        <f t="shared" si="25"/>
        <v>0</v>
      </c>
    </row>
    <row r="184" spans="1:15" s="57" customFormat="1" ht="29.4" customHeight="1" x14ac:dyDescent="0.25">
      <c r="A184" s="303" t="str">
        <f>'Kalk UHR GS Deisenhofen'!A184</f>
        <v>Hort</v>
      </c>
      <c r="B184" s="303" t="str">
        <f>'Kalk UHR GS Deisenhofen'!B184</f>
        <v>EG</v>
      </c>
      <c r="C184" s="303" t="str">
        <f>'Kalk UHR GS Deisenhofen'!C184</f>
        <v>E.D.63</v>
      </c>
      <c r="D184" s="303" t="str">
        <f>'Kalk UHR GS Deisenhofen'!D184</f>
        <v>Gruppenraum</v>
      </c>
      <c r="E184" s="229"/>
      <c r="F184" s="195">
        <v>0</v>
      </c>
      <c r="G184" s="195">
        <v>12</v>
      </c>
      <c r="H184" s="186">
        <f t="shared" si="21"/>
        <v>0</v>
      </c>
      <c r="I184" s="549"/>
      <c r="J184" s="187"/>
      <c r="K184" s="188">
        <f t="shared" si="31"/>
        <v>0</v>
      </c>
      <c r="L184" s="548">
        <f t="shared" si="32"/>
        <v>0</v>
      </c>
      <c r="M184" s="189">
        <f t="shared" si="23"/>
        <v>0</v>
      </c>
      <c r="N184" s="189">
        <f t="shared" si="24"/>
        <v>0</v>
      </c>
      <c r="O184" s="189">
        <f t="shared" si="25"/>
        <v>0</v>
      </c>
    </row>
    <row r="185" spans="1:15" s="57" customFormat="1" ht="29.4" customHeight="1" x14ac:dyDescent="0.25">
      <c r="A185" s="303" t="str">
        <f>'Kalk UHR GS Deisenhofen'!A185</f>
        <v>Hort</v>
      </c>
      <c r="B185" s="303" t="str">
        <f>'Kalk UHR GS Deisenhofen'!B185</f>
        <v>EG</v>
      </c>
      <c r="C185" s="303" t="str">
        <f>'Kalk UHR GS Deisenhofen'!C185</f>
        <v>E.D.63a</v>
      </c>
      <c r="D185" s="303" t="str">
        <f>'Kalk UHR GS Deisenhofen'!D185</f>
        <v>Gruppen-Nebenraum</v>
      </c>
      <c r="E185" s="229"/>
      <c r="F185" s="195">
        <v>0</v>
      </c>
      <c r="G185" s="195">
        <v>12</v>
      </c>
      <c r="H185" s="186">
        <f t="shared" si="21"/>
        <v>0</v>
      </c>
      <c r="I185" s="549"/>
      <c r="J185" s="187"/>
      <c r="K185" s="188">
        <f t="shared" si="31"/>
        <v>0</v>
      </c>
      <c r="L185" s="548">
        <f t="shared" si="32"/>
        <v>0</v>
      </c>
      <c r="M185" s="189">
        <f t="shared" si="23"/>
        <v>0</v>
      </c>
      <c r="N185" s="189">
        <f t="shared" si="24"/>
        <v>0</v>
      </c>
      <c r="O185" s="189">
        <f t="shared" si="25"/>
        <v>0</v>
      </c>
    </row>
    <row r="186" spans="1:15" s="57" customFormat="1" ht="29.4" customHeight="1" x14ac:dyDescent="0.25">
      <c r="A186" s="303" t="str">
        <f>'Kalk UHR GS Deisenhofen'!A186</f>
        <v>Hort</v>
      </c>
      <c r="B186" s="303" t="str">
        <f>'Kalk UHR GS Deisenhofen'!B186</f>
        <v>EG</v>
      </c>
      <c r="C186" s="303" t="str">
        <f>'Kalk UHR GS Deisenhofen'!C186</f>
        <v>E.D.64</v>
      </c>
      <c r="D186" s="303" t="str">
        <f>'Kalk UHR GS Deisenhofen'!D186</f>
        <v>Vorraum</v>
      </c>
      <c r="E186" s="229"/>
      <c r="F186" s="195">
        <v>0</v>
      </c>
      <c r="G186" s="195">
        <v>12</v>
      </c>
      <c r="H186" s="186">
        <f t="shared" si="21"/>
        <v>0</v>
      </c>
      <c r="I186" s="549"/>
      <c r="J186" s="187"/>
      <c r="K186" s="188">
        <f t="shared" si="31"/>
        <v>0</v>
      </c>
      <c r="L186" s="548">
        <f t="shared" si="32"/>
        <v>0</v>
      </c>
      <c r="M186" s="189">
        <f t="shared" si="23"/>
        <v>0</v>
      </c>
      <c r="N186" s="189">
        <f t="shared" si="24"/>
        <v>0</v>
      </c>
      <c r="O186" s="189">
        <f t="shared" si="25"/>
        <v>0</v>
      </c>
    </row>
    <row r="187" spans="1:15" s="57" customFormat="1" ht="29.4" customHeight="1" x14ac:dyDescent="0.25">
      <c r="A187" s="303" t="str">
        <f>'Kalk UHR GS Deisenhofen'!A187</f>
        <v>Hort</v>
      </c>
      <c r="B187" s="303" t="str">
        <f>'Kalk UHR GS Deisenhofen'!B187</f>
        <v>EG</v>
      </c>
      <c r="C187" s="303" t="str">
        <f>'Kalk UHR GS Deisenhofen'!C187</f>
        <v>E.D.64a</v>
      </c>
      <c r="D187" s="303" t="str">
        <f>'Kalk UHR GS Deisenhofen'!D187</f>
        <v>Medienraum PC</v>
      </c>
      <c r="E187" s="229"/>
      <c r="F187" s="195">
        <v>0</v>
      </c>
      <c r="G187" s="195">
        <v>12</v>
      </c>
      <c r="H187" s="186">
        <f t="shared" si="21"/>
        <v>0</v>
      </c>
      <c r="I187" s="549"/>
      <c r="J187" s="187"/>
      <c r="K187" s="188">
        <f t="shared" si="31"/>
        <v>0</v>
      </c>
      <c r="L187" s="548">
        <f t="shared" si="32"/>
        <v>0</v>
      </c>
      <c r="M187" s="189">
        <f t="shared" si="23"/>
        <v>0</v>
      </c>
      <c r="N187" s="189">
        <f t="shared" si="24"/>
        <v>0</v>
      </c>
      <c r="O187" s="189">
        <f t="shared" si="25"/>
        <v>0</v>
      </c>
    </row>
    <row r="188" spans="1:15" s="57" customFormat="1" ht="29.4" customHeight="1" x14ac:dyDescent="0.25">
      <c r="A188" s="303" t="str">
        <f>'Kalk UHR GS Deisenhofen'!A188</f>
        <v>Hort</v>
      </c>
      <c r="B188" s="303" t="str">
        <f>'Kalk UHR GS Deisenhofen'!B188</f>
        <v>EG</v>
      </c>
      <c r="C188" s="303" t="str">
        <f>'Kalk UHR GS Deisenhofen'!C188</f>
        <v>E.D.65</v>
      </c>
      <c r="D188" s="303" t="str">
        <f>'Kalk UHR GS Deisenhofen'!D188</f>
        <v>Gruppenraum</v>
      </c>
      <c r="E188" s="229"/>
      <c r="F188" s="195">
        <v>0</v>
      </c>
      <c r="G188" s="195">
        <v>12</v>
      </c>
      <c r="H188" s="186">
        <f t="shared" si="21"/>
        <v>0</v>
      </c>
      <c r="I188" s="549"/>
      <c r="J188" s="187"/>
      <c r="K188" s="188">
        <f t="shared" si="31"/>
        <v>0</v>
      </c>
      <c r="L188" s="548">
        <f t="shared" si="32"/>
        <v>0</v>
      </c>
      <c r="M188" s="189">
        <f t="shared" si="23"/>
        <v>0</v>
      </c>
      <c r="N188" s="189">
        <f t="shared" si="24"/>
        <v>0</v>
      </c>
      <c r="O188" s="189">
        <f t="shared" si="25"/>
        <v>0</v>
      </c>
    </row>
    <row r="189" spans="1:15" s="57" customFormat="1" ht="29.4" customHeight="1" x14ac:dyDescent="0.25">
      <c r="A189" s="303" t="str">
        <f>'Kalk UHR GS Deisenhofen'!A189</f>
        <v>Hort</v>
      </c>
      <c r="B189" s="303" t="str">
        <f>'Kalk UHR GS Deisenhofen'!B189</f>
        <v>EG</v>
      </c>
      <c r="C189" s="303" t="str">
        <f>'Kalk UHR GS Deisenhofen'!C189</f>
        <v>E.D.65a</v>
      </c>
      <c r="D189" s="303" t="str">
        <f>'Kalk UHR GS Deisenhofen'!D189</f>
        <v>Gruppen-Nebenraum</v>
      </c>
      <c r="E189" s="229"/>
      <c r="F189" s="195">
        <v>0</v>
      </c>
      <c r="G189" s="195">
        <v>12</v>
      </c>
      <c r="H189" s="186">
        <f t="shared" si="21"/>
        <v>0</v>
      </c>
      <c r="I189" s="549"/>
      <c r="J189" s="187"/>
      <c r="K189" s="188">
        <f t="shared" si="31"/>
        <v>0</v>
      </c>
      <c r="L189" s="548">
        <f t="shared" si="32"/>
        <v>0</v>
      </c>
      <c r="M189" s="189">
        <f t="shared" si="23"/>
        <v>0</v>
      </c>
      <c r="N189" s="189">
        <f t="shared" si="24"/>
        <v>0</v>
      </c>
      <c r="O189" s="189">
        <f t="shared" si="25"/>
        <v>0</v>
      </c>
    </row>
    <row r="190" spans="1:15" s="57" customFormat="1" ht="29.4" customHeight="1" x14ac:dyDescent="0.25">
      <c r="A190" s="303" t="str">
        <f>'Kalk UHR GS Deisenhofen'!A190</f>
        <v>Hort</v>
      </c>
      <c r="B190" s="303" t="str">
        <f>'Kalk UHR GS Deisenhofen'!B190</f>
        <v>EG</v>
      </c>
      <c r="C190" s="303" t="str">
        <f>'Kalk UHR GS Deisenhofen'!C190</f>
        <v>E.D.F.19</v>
      </c>
      <c r="D190" s="303" t="str">
        <f>'Kalk UHR GS Deisenhofen'!D190</f>
        <v>Flur</v>
      </c>
      <c r="E190" s="229">
        <f>2.1+2+2.1+2</f>
        <v>8.1999999999999993</v>
      </c>
      <c r="F190" s="195">
        <v>0</v>
      </c>
      <c r="G190" s="195">
        <v>12</v>
      </c>
      <c r="H190" s="186">
        <f t="shared" si="21"/>
        <v>98.399999999999991</v>
      </c>
      <c r="I190" s="549"/>
      <c r="J190" s="187"/>
      <c r="K190" s="188">
        <f t="shared" si="31"/>
        <v>0</v>
      </c>
      <c r="L190" s="548">
        <f t="shared" si="32"/>
        <v>0</v>
      </c>
      <c r="M190" s="189">
        <f t="shared" si="23"/>
        <v>0</v>
      </c>
      <c r="N190" s="189">
        <f t="shared" si="24"/>
        <v>0</v>
      </c>
      <c r="O190" s="189">
        <f t="shared" si="25"/>
        <v>0</v>
      </c>
    </row>
    <row r="191" spans="1:15" s="57" customFormat="1" ht="24" customHeight="1" x14ac:dyDescent="0.25">
      <c r="A191" s="303" t="str">
        <f>'Kalk UHR GS Deisenhofen'!A191</f>
        <v>Sporthalle</v>
      </c>
      <c r="B191" s="303" t="str">
        <f>'Kalk UHR GS Deisenhofen'!B191</f>
        <v>UG</v>
      </c>
      <c r="C191" s="303" t="str">
        <f>'Kalk UHR GS Deisenhofen'!C191</f>
        <v>U.A.01</v>
      </c>
      <c r="D191" s="303" t="str">
        <f>'Kalk UHR GS Deisenhofen'!D191</f>
        <v>Sporthalle</v>
      </c>
      <c r="E191" s="229">
        <f>1.65*0.25+1.01*1.87+1.08*1.87+1.65*0.25</f>
        <v>4.7332999999999998</v>
      </c>
      <c r="F191" s="195">
        <v>0</v>
      </c>
      <c r="G191" s="195">
        <v>12</v>
      </c>
      <c r="H191" s="186">
        <f t="shared" si="21"/>
        <v>56.799599999999998</v>
      </c>
      <c r="I191" s="549"/>
      <c r="J191" s="187"/>
      <c r="K191" s="188">
        <f t="shared" si="31"/>
        <v>0</v>
      </c>
      <c r="L191" s="548">
        <f t="shared" si="32"/>
        <v>0</v>
      </c>
      <c r="M191" s="189">
        <f t="shared" si="23"/>
        <v>0</v>
      </c>
      <c r="N191" s="189">
        <f t="shared" si="24"/>
        <v>0</v>
      </c>
      <c r="O191" s="189">
        <f t="shared" si="25"/>
        <v>0</v>
      </c>
    </row>
    <row r="192" spans="1:15" s="57" customFormat="1" ht="24" customHeight="1" x14ac:dyDescent="0.25">
      <c r="A192" s="303" t="str">
        <f>'Kalk UHR GS Deisenhofen'!A192</f>
        <v>Sporthalle</v>
      </c>
      <c r="B192" s="303" t="str">
        <f>'Kalk UHR GS Deisenhofen'!B192</f>
        <v>UG</v>
      </c>
      <c r="C192" s="303" t="str">
        <f>'Kalk UHR GS Deisenhofen'!C192</f>
        <v>U.A.F.01</v>
      </c>
      <c r="D192" s="303" t="str">
        <f>'Kalk UHR GS Deisenhofen'!D192</f>
        <v>Vorraum Garderobe</v>
      </c>
      <c r="E192" s="229"/>
      <c r="F192" s="195">
        <v>0</v>
      </c>
      <c r="G192" s="195">
        <v>12</v>
      </c>
      <c r="H192" s="186">
        <f t="shared" si="21"/>
        <v>0</v>
      </c>
      <c r="I192" s="549"/>
      <c r="J192" s="187"/>
      <c r="K192" s="188">
        <f t="shared" si="31"/>
        <v>0</v>
      </c>
      <c r="L192" s="548">
        <f t="shared" si="32"/>
        <v>0</v>
      </c>
      <c r="M192" s="189">
        <f t="shared" si="23"/>
        <v>0</v>
      </c>
      <c r="N192" s="189">
        <f t="shared" si="24"/>
        <v>0</v>
      </c>
      <c r="O192" s="189">
        <f t="shared" si="25"/>
        <v>0</v>
      </c>
    </row>
    <row r="193" spans="1:15" s="57" customFormat="1" ht="24" customHeight="1" x14ac:dyDescent="0.25">
      <c r="A193" s="303" t="str">
        <f>'Kalk UHR GS Deisenhofen'!A193</f>
        <v>Sporthalle</v>
      </c>
      <c r="B193" s="303" t="str">
        <f>'Kalk UHR GS Deisenhofen'!B193</f>
        <v>UG</v>
      </c>
      <c r="C193" s="303" t="str">
        <f>'Kalk UHR GS Deisenhofen'!C193</f>
        <v>U.A.T.01</v>
      </c>
      <c r="D193" s="303" t="str">
        <f>'Kalk UHR GS Deisenhofen'!D193</f>
        <v>Treppe</v>
      </c>
      <c r="E193" s="229"/>
      <c r="F193" s="195">
        <v>0</v>
      </c>
      <c r="G193" s="195">
        <v>12</v>
      </c>
      <c r="H193" s="186">
        <f t="shared" si="21"/>
        <v>0</v>
      </c>
      <c r="I193" s="549"/>
      <c r="J193" s="187"/>
      <c r="K193" s="188">
        <f t="shared" si="31"/>
        <v>0</v>
      </c>
      <c r="L193" s="548">
        <f t="shared" si="32"/>
        <v>0</v>
      </c>
      <c r="M193" s="189">
        <f t="shared" si="23"/>
        <v>0</v>
      </c>
      <c r="N193" s="189">
        <f t="shared" si="24"/>
        <v>0</v>
      </c>
      <c r="O193" s="189">
        <f t="shared" si="25"/>
        <v>0</v>
      </c>
    </row>
    <row r="194" spans="1:15" s="57" customFormat="1" ht="24" customHeight="1" x14ac:dyDescent="0.25">
      <c r="A194" s="303" t="str">
        <f>'Kalk UHR GS Deisenhofen'!A194</f>
        <v>Sporthalle</v>
      </c>
      <c r="B194" s="303" t="str">
        <f>'Kalk UHR GS Deisenhofen'!B194</f>
        <v>UG</v>
      </c>
      <c r="C194" s="303" t="str">
        <f>'Kalk UHR GS Deisenhofen'!C194</f>
        <v>U.A.Z.01</v>
      </c>
      <c r="D194" s="303" t="str">
        <f>'Kalk UHR GS Deisenhofen'!D194</f>
        <v>Aufzug (Turnus siehe EG)</v>
      </c>
      <c r="E194" s="229"/>
      <c r="F194" s="195">
        <v>0</v>
      </c>
      <c r="G194" s="195">
        <v>12</v>
      </c>
      <c r="H194" s="186">
        <f t="shared" si="21"/>
        <v>0</v>
      </c>
      <c r="I194" s="549"/>
      <c r="J194" s="187"/>
      <c r="K194" s="188">
        <f t="shared" si="31"/>
        <v>0</v>
      </c>
      <c r="L194" s="548">
        <f t="shared" si="32"/>
        <v>0</v>
      </c>
      <c r="M194" s="189">
        <f t="shared" si="23"/>
        <v>0</v>
      </c>
      <c r="N194" s="189">
        <f t="shared" si="24"/>
        <v>0</v>
      </c>
      <c r="O194" s="189">
        <f t="shared" si="25"/>
        <v>0</v>
      </c>
    </row>
    <row r="195" spans="1:15" s="57" customFormat="1" ht="24" customHeight="1" x14ac:dyDescent="0.25">
      <c r="A195" s="303" t="str">
        <f>'Kalk UHR GS Deisenhofen'!A195</f>
        <v>Sporthalle</v>
      </c>
      <c r="B195" s="303" t="str">
        <f>'Kalk UHR GS Deisenhofen'!B195</f>
        <v>UG</v>
      </c>
      <c r="C195" s="303" t="str">
        <f>'Kalk UHR GS Deisenhofen'!C195</f>
        <v>U.A.01a</v>
      </c>
      <c r="D195" s="303" t="str">
        <f>'Kalk UHR GS Deisenhofen'!D195</f>
        <v>Geräte</v>
      </c>
      <c r="E195" s="229"/>
      <c r="F195" s="195">
        <v>0</v>
      </c>
      <c r="G195" s="195">
        <v>12</v>
      </c>
      <c r="H195" s="186">
        <f t="shared" si="21"/>
        <v>0</v>
      </c>
      <c r="I195" s="549"/>
      <c r="J195" s="187"/>
      <c r="K195" s="188">
        <f t="shared" si="31"/>
        <v>0</v>
      </c>
      <c r="L195" s="548">
        <f t="shared" si="32"/>
        <v>0</v>
      </c>
      <c r="M195" s="189">
        <f t="shared" si="23"/>
        <v>0</v>
      </c>
      <c r="N195" s="189">
        <f t="shared" si="24"/>
        <v>0</v>
      </c>
      <c r="O195" s="189">
        <f t="shared" si="25"/>
        <v>0</v>
      </c>
    </row>
    <row r="196" spans="1:15" s="57" customFormat="1" ht="24" customHeight="1" x14ac:dyDescent="0.25">
      <c r="A196" s="303" t="str">
        <f>'Kalk UHR GS Deisenhofen'!A196</f>
        <v>Sporthalle</v>
      </c>
      <c r="B196" s="303" t="str">
        <f>'Kalk UHR GS Deisenhofen'!B196</f>
        <v>UG</v>
      </c>
      <c r="C196" s="303" t="str">
        <f>'Kalk UHR GS Deisenhofen'!C196</f>
        <v>U.A.01b</v>
      </c>
      <c r="D196" s="303" t="str">
        <f>'Kalk UHR GS Deisenhofen'!D196</f>
        <v>Geräte</v>
      </c>
      <c r="E196" s="229"/>
      <c r="F196" s="195">
        <v>0</v>
      </c>
      <c r="G196" s="195">
        <v>12</v>
      </c>
      <c r="H196" s="186">
        <f t="shared" si="21"/>
        <v>0</v>
      </c>
      <c r="I196" s="549"/>
      <c r="J196" s="187"/>
      <c r="K196" s="188">
        <f t="shared" si="31"/>
        <v>0</v>
      </c>
      <c r="L196" s="548">
        <f t="shared" si="32"/>
        <v>0</v>
      </c>
      <c r="M196" s="189">
        <f t="shared" si="23"/>
        <v>0</v>
      </c>
      <c r="N196" s="189">
        <f t="shared" si="24"/>
        <v>0</v>
      </c>
      <c r="O196" s="189">
        <f t="shared" si="25"/>
        <v>0</v>
      </c>
    </row>
    <row r="197" spans="1:15" s="57" customFormat="1" ht="29.4" customHeight="1" x14ac:dyDescent="0.25">
      <c r="A197" s="303" t="str">
        <f>'Kalk UHR GS Deisenhofen'!A197</f>
        <v>Sporthalle</v>
      </c>
      <c r="B197" s="303" t="str">
        <f>'Kalk UHR GS Deisenhofen'!B197</f>
        <v>UG</v>
      </c>
      <c r="C197" s="303" t="str">
        <f>'Kalk UHR GS Deisenhofen'!C197</f>
        <v>U.A.02</v>
      </c>
      <c r="D197" s="303" t="str">
        <f>'Kalk UHR GS Deisenhofen'!D197</f>
        <v>ELT</v>
      </c>
      <c r="E197" s="229"/>
      <c r="F197" s="195">
        <v>0</v>
      </c>
      <c r="G197" s="195">
        <v>12</v>
      </c>
      <c r="H197" s="186">
        <f t="shared" si="21"/>
        <v>0</v>
      </c>
      <c r="I197" s="549"/>
      <c r="J197" s="187"/>
      <c r="K197" s="188">
        <f t="shared" si="31"/>
        <v>0</v>
      </c>
      <c r="L197" s="548">
        <f t="shared" si="32"/>
        <v>0</v>
      </c>
      <c r="M197" s="189">
        <f t="shared" si="23"/>
        <v>0</v>
      </c>
      <c r="N197" s="189">
        <f t="shared" si="24"/>
        <v>0</v>
      </c>
      <c r="O197" s="189">
        <f t="shared" si="25"/>
        <v>0</v>
      </c>
    </row>
    <row r="198" spans="1:15" s="57" customFormat="1" ht="29.4" customHeight="1" x14ac:dyDescent="0.25">
      <c r="A198" s="303" t="str">
        <f>'Kalk UHR GS Deisenhofen'!A198</f>
        <v>Sporthalle</v>
      </c>
      <c r="B198" s="303" t="str">
        <f>'Kalk UHR GS Deisenhofen'!B198</f>
        <v>UG</v>
      </c>
      <c r="C198" s="303" t="str">
        <f>'Kalk UHR GS Deisenhofen'!C198</f>
        <v>U.A.02a</v>
      </c>
      <c r="D198" s="303" t="str">
        <f>'Kalk UHR GS Deisenhofen'!D198</f>
        <v>Aufzugmaschinenraum</v>
      </c>
      <c r="E198" s="229"/>
      <c r="F198" s="195">
        <v>0</v>
      </c>
      <c r="G198" s="195">
        <v>12</v>
      </c>
      <c r="H198" s="186">
        <f t="shared" si="21"/>
        <v>0</v>
      </c>
      <c r="I198" s="549"/>
      <c r="J198" s="187"/>
      <c r="K198" s="188">
        <f t="shared" si="31"/>
        <v>0</v>
      </c>
      <c r="L198" s="548">
        <f t="shared" si="32"/>
        <v>0</v>
      </c>
      <c r="M198" s="189">
        <f t="shared" si="23"/>
        <v>0</v>
      </c>
      <c r="N198" s="189">
        <f t="shared" si="24"/>
        <v>0</v>
      </c>
      <c r="O198" s="189">
        <f t="shared" si="25"/>
        <v>0</v>
      </c>
    </row>
    <row r="199" spans="1:15" s="57" customFormat="1" ht="29.4" customHeight="1" x14ac:dyDescent="0.25">
      <c r="A199" s="303" t="str">
        <f>'Kalk UHR GS Deisenhofen'!A199</f>
        <v>Sporthalle</v>
      </c>
      <c r="B199" s="303" t="str">
        <f>'Kalk UHR GS Deisenhofen'!B199</f>
        <v>UG</v>
      </c>
      <c r="C199" s="303" t="str">
        <f>'Kalk UHR GS Deisenhofen'!C199</f>
        <v>U.A.03</v>
      </c>
      <c r="D199" s="303" t="str">
        <f>'Kalk UHR GS Deisenhofen'!D199</f>
        <v>Regie</v>
      </c>
      <c r="E199" s="229"/>
      <c r="F199" s="195">
        <v>0</v>
      </c>
      <c r="G199" s="195">
        <v>12</v>
      </c>
      <c r="H199" s="186">
        <f t="shared" si="21"/>
        <v>0</v>
      </c>
      <c r="I199" s="549"/>
      <c r="J199" s="187"/>
      <c r="K199" s="188">
        <f t="shared" si="31"/>
        <v>0</v>
      </c>
      <c r="L199" s="548">
        <f t="shared" si="32"/>
        <v>0</v>
      </c>
      <c r="M199" s="189">
        <f t="shared" si="23"/>
        <v>0</v>
      </c>
      <c r="N199" s="189">
        <f t="shared" si="24"/>
        <v>0</v>
      </c>
      <c r="O199" s="189">
        <f t="shared" si="25"/>
        <v>0</v>
      </c>
    </row>
    <row r="200" spans="1:15" s="57" customFormat="1" ht="29.4" customHeight="1" x14ac:dyDescent="0.25">
      <c r="A200" s="303" t="str">
        <f>'Kalk UHR GS Deisenhofen'!A200</f>
        <v>Sporthalle</v>
      </c>
      <c r="B200" s="303" t="str">
        <f>'Kalk UHR GS Deisenhofen'!B200</f>
        <v>UG</v>
      </c>
      <c r="C200" s="303" t="str">
        <f>'Kalk UHR GS Deisenhofen'!C200</f>
        <v>U.A.04</v>
      </c>
      <c r="D200" s="303" t="str">
        <f>'Kalk UHR GS Deisenhofen'!D200</f>
        <v>Lager</v>
      </c>
      <c r="E200" s="229"/>
      <c r="F200" s="195">
        <v>0</v>
      </c>
      <c r="G200" s="195">
        <v>12</v>
      </c>
      <c r="H200" s="186">
        <f t="shared" si="21"/>
        <v>0</v>
      </c>
      <c r="I200" s="549"/>
      <c r="J200" s="187"/>
      <c r="K200" s="188">
        <f t="shared" si="31"/>
        <v>0</v>
      </c>
      <c r="L200" s="548">
        <f t="shared" si="32"/>
        <v>0</v>
      </c>
      <c r="M200" s="189">
        <f t="shared" si="23"/>
        <v>0</v>
      </c>
      <c r="N200" s="189">
        <f t="shared" si="24"/>
        <v>0</v>
      </c>
      <c r="O200" s="189">
        <f t="shared" si="25"/>
        <v>0</v>
      </c>
    </row>
    <row r="201" spans="1:15" s="57" customFormat="1" ht="29.4" customHeight="1" x14ac:dyDescent="0.25">
      <c r="A201" s="303" t="str">
        <f>'Kalk UHR GS Deisenhofen'!A201</f>
        <v>Sporthalle</v>
      </c>
      <c r="B201" s="303" t="str">
        <f>'Kalk UHR GS Deisenhofen'!B201</f>
        <v>UG</v>
      </c>
      <c r="C201" s="303" t="str">
        <f>'Kalk UHR GS Deisenhofen'!C201</f>
        <v>U.A.05</v>
      </c>
      <c r="D201" s="303" t="str">
        <f>'Kalk UHR GS Deisenhofen'!D201</f>
        <v>ELT</v>
      </c>
      <c r="E201" s="229"/>
      <c r="F201" s="195">
        <v>0</v>
      </c>
      <c r="G201" s="195">
        <v>12</v>
      </c>
      <c r="H201" s="186">
        <f t="shared" si="21"/>
        <v>0</v>
      </c>
      <c r="I201" s="549"/>
      <c r="J201" s="187"/>
      <c r="K201" s="188">
        <f t="shared" si="31"/>
        <v>0</v>
      </c>
      <c r="L201" s="548">
        <f t="shared" si="32"/>
        <v>0</v>
      </c>
      <c r="M201" s="189">
        <f t="shared" si="23"/>
        <v>0</v>
      </c>
      <c r="N201" s="189">
        <f t="shared" si="24"/>
        <v>0</v>
      </c>
      <c r="O201" s="189">
        <f t="shared" si="25"/>
        <v>0</v>
      </c>
    </row>
    <row r="202" spans="1:15" s="57" customFormat="1" ht="29.4" customHeight="1" x14ac:dyDescent="0.25">
      <c r="A202" s="303" t="str">
        <f>'Kalk UHR GS Deisenhofen'!A202</f>
        <v>Sporthalle</v>
      </c>
      <c r="B202" s="303" t="str">
        <f>'Kalk UHR GS Deisenhofen'!B202</f>
        <v>UG</v>
      </c>
      <c r="C202" s="303" t="str">
        <f>'Kalk UHR GS Deisenhofen'!C202</f>
        <v>U.A.F.02</v>
      </c>
      <c r="D202" s="303" t="str">
        <f>'Kalk UHR GS Deisenhofen'!D202</f>
        <v>Flur</v>
      </c>
      <c r="E202" s="229">
        <f>1.53*2.34+1.57*2.34</f>
        <v>7.2539999999999996</v>
      </c>
      <c r="F202" s="195">
        <v>0</v>
      </c>
      <c r="G202" s="195">
        <v>12</v>
      </c>
      <c r="H202" s="186">
        <f t="shared" si="21"/>
        <v>87.048000000000002</v>
      </c>
      <c r="I202" s="549"/>
      <c r="J202" s="187"/>
      <c r="K202" s="188">
        <f t="shared" si="31"/>
        <v>0</v>
      </c>
      <c r="L202" s="548">
        <f t="shared" si="32"/>
        <v>0</v>
      </c>
      <c r="M202" s="189">
        <f t="shared" si="23"/>
        <v>0</v>
      </c>
      <c r="N202" s="189">
        <f t="shared" si="24"/>
        <v>0</v>
      </c>
      <c r="O202" s="189">
        <f t="shared" si="25"/>
        <v>0</v>
      </c>
    </row>
    <row r="203" spans="1:15" s="57" customFormat="1" ht="29.4" customHeight="1" x14ac:dyDescent="0.25">
      <c r="A203" s="303" t="str">
        <f>'Kalk UHR GS Deisenhofen'!A203</f>
        <v>Sporthalle</v>
      </c>
      <c r="B203" s="303" t="str">
        <f>'Kalk UHR GS Deisenhofen'!B203</f>
        <v>UG</v>
      </c>
      <c r="C203" s="303" t="str">
        <f>'Kalk UHR GS Deisenhofen'!C203</f>
        <v>U.A.F.03</v>
      </c>
      <c r="D203" s="303" t="str">
        <f>'Kalk UHR GS Deisenhofen'!D203</f>
        <v>Flur</v>
      </c>
      <c r="E203" s="229"/>
      <c r="F203" s="195">
        <v>0</v>
      </c>
      <c r="G203" s="195">
        <v>12</v>
      </c>
      <c r="H203" s="186">
        <f t="shared" si="21"/>
        <v>0</v>
      </c>
      <c r="I203" s="549"/>
      <c r="J203" s="187"/>
      <c r="K203" s="188">
        <f t="shared" si="31"/>
        <v>0</v>
      </c>
      <c r="L203" s="548">
        <f t="shared" si="32"/>
        <v>0</v>
      </c>
      <c r="M203" s="189">
        <f t="shared" si="23"/>
        <v>0</v>
      </c>
      <c r="N203" s="189">
        <f t="shared" si="24"/>
        <v>0</v>
      </c>
      <c r="O203" s="189">
        <f t="shared" si="25"/>
        <v>0</v>
      </c>
    </row>
    <row r="204" spans="1:15" s="57" customFormat="1" ht="29.4" customHeight="1" x14ac:dyDescent="0.25">
      <c r="A204" s="303" t="str">
        <f>'Kalk UHR GS Deisenhofen'!A204</f>
        <v>Sporthalle</v>
      </c>
      <c r="B204" s="303" t="str">
        <f>'Kalk UHR GS Deisenhofen'!B204</f>
        <v>UG</v>
      </c>
      <c r="C204" s="303" t="str">
        <f>'Kalk UHR GS Deisenhofen'!C204</f>
        <v>U.A.06</v>
      </c>
      <c r="D204" s="303" t="str">
        <f>'Kalk UHR GS Deisenhofen'!D204</f>
        <v>WC-Mädchen</v>
      </c>
      <c r="E204" s="229"/>
      <c r="F204" s="195">
        <v>0</v>
      </c>
      <c r="G204" s="195">
        <v>12</v>
      </c>
      <c r="H204" s="186">
        <f t="shared" si="21"/>
        <v>0</v>
      </c>
      <c r="I204" s="549"/>
      <c r="J204" s="187"/>
      <c r="K204" s="188">
        <f t="shared" ref="K204:K249" si="33">IFERROR((F204*E204/I204),0)+IFERROR((G204*E204/J204),0)</f>
        <v>0</v>
      </c>
      <c r="L204" s="548">
        <f t="shared" si="32"/>
        <v>0</v>
      </c>
      <c r="M204" s="189">
        <f t="shared" si="23"/>
        <v>0</v>
      </c>
      <c r="N204" s="189">
        <f t="shared" si="24"/>
        <v>0</v>
      </c>
      <c r="O204" s="189">
        <f t="shared" si="25"/>
        <v>0</v>
      </c>
    </row>
    <row r="205" spans="1:15" s="57" customFormat="1" ht="29.4" customHeight="1" x14ac:dyDescent="0.25">
      <c r="A205" s="303" t="str">
        <f>'Kalk UHR GS Deisenhofen'!A205</f>
        <v>Sporthalle</v>
      </c>
      <c r="B205" s="303" t="str">
        <f>'Kalk UHR GS Deisenhofen'!B205</f>
        <v>UG</v>
      </c>
      <c r="C205" s="303" t="str">
        <f>'Kalk UHR GS Deisenhofen'!C205</f>
        <v>U.A.07</v>
      </c>
      <c r="D205" s="303" t="str">
        <f>'Kalk UHR GS Deisenhofen'!D205</f>
        <v>WC-Behinderte</v>
      </c>
      <c r="E205" s="229"/>
      <c r="F205" s="195">
        <v>0</v>
      </c>
      <c r="G205" s="195">
        <v>12</v>
      </c>
      <c r="H205" s="186">
        <f t="shared" si="21"/>
        <v>0</v>
      </c>
      <c r="I205" s="549"/>
      <c r="J205" s="187"/>
      <c r="K205" s="188">
        <f t="shared" si="33"/>
        <v>0</v>
      </c>
      <c r="L205" s="548">
        <f t="shared" si="32"/>
        <v>0</v>
      </c>
      <c r="M205" s="189">
        <f t="shared" si="23"/>
        <v>0</v>
      </c>
      <c r="N205" s="189">
        <f t="shared" si="24"/>
        <v>0</v>
      </c>
      <c r="O205" s="189">
        <f t="shared" si="25"/>
        <v>0</v>
      </c>
    </row>
    <row r="206" spans="1:15" s="57" customFormat="1" ht="29.4" customHeight="1" x14ac:dyDescent="0.25">
      <c r="A206" s="303" t="str">
        <f>'Kalk UHR GS Deisenhofen'!A206</f>
        <v>Sporthalle</v>
      </c>
      <c r="B206" s="303" t="str">
        <f>'Kalk UHR GS Deisenhofen'!B206</f>
        <v>UG</v>
      </c>
      <c r="C206" s="303" t="str">
        <f>'Kalk UHR GS Deisenhofen'!C206</f>
        <v>U.A.08</v>
      </c>
      <c r="D206" s="303" t="str">
        <f>'Kalk UHR GS Deisenhofen'!D206</f>
        <v>WC-Jungen</v>
      </c>
      <c r="E206" s="229"/>
      <c r="F206" s="195">
        <v>0</v>
      </c>
      <c r="G206" s="195">
        <v>12</v>
      </c>
      <c r="H206" s="186">
        <f t="shared" si="21"/>
        <v>0</v>
      </c>
      <c r="I206" s="549"/>
      <c r="J206" s="187"/>
      <c r="K206" s="188">
        <f t="shared" si="33"/>
        <v>0</v>
      </c>
      <c r="L206" s="548">
        <f t="shared" si="32"/>
        <v>0</v>
      </c>
      <c r="M206" s="189">
        <f t="shared" si="23"/>
        <v>0</v>
      </c>
      <c r="N206" s="189">
        <f t="shared" si="24"/>
        <v>0</v>
      </c>
      <c r="O206" s="189">
        <f t="shared" si="25"/>
        <v>0</v>
      </c>
    </row>
    <row r="207" spans="1:15" s="57" customFormat="1" ht="29.4" customHeight="1" x14ac:dyDescent="0.25">
      <c r="A207" s="303" t="str">
        <f>'Kalk UHR GS Deisenhofen'!A207</f>
        <v>Sporthalle</v>
      </c>
      <c r="B207" s="303" t="str">
        <f>'Kalk UHR GS Deisenhofen'!B207</f>
        <v>UG</v>
      </c>
      <c r="C207" s="303" t="str">
        <f>'Kalk UHR GS Deisenhofen'!C207</f>
        <v>U.A.09</v>
      </c>
      <c r="D207" s="303" t="str">
        <f>'Kalk UHR GS Deisenhofen'!D207</f>
        <v>Umkleide</v>
      </c>
      <c r="E207" s="229"/>
      <c r="F207" s="195">
        <v>0</v>
      </c>
      <c r="G207" s="195">
        <v>12</v>
      </c>
      <c r="H207" s="186">
        <f t="shared" si="21"/>
        <v>0</v>
      </c>
      <c r="I207" s="549"/>
      <c r="J207" s="187"/>
      <c r="K207" s="188">
        <f t="shared" si="33"/>
        <v>0</v>
      </c>
      <c r="L207" s="548">
        <f t="shared" si="32"/>
        <v>0</v>
      </c>
      <c r="M207" s="189">
        <f t="shared" si="23"/>
        <v>0</v>
      </c>
      <c r="N207" s="189">
        <f t="shared" si="24"/>
        <v>0</v>
      </c>
      <c r="O207" s="189">
        <f t="shared" si="25"/>
        <v>0</v>
      </c>
    </row>
    <row r="208" spans="1:15" s="57" customFormat="1" ht="29.4" customHeight="1" x14ac:dyDescent="0.25">
      <c r="A208" s="303" t="str">
        <f>'Kalk UHR GS Deisenhofen'!A208</f>
        <v>Sporthalle</v>
      </c>
      <c r="B208" s="303" t="str">
        <f>'Kalk UHR GS Deisenhofen'!B208</f>
        <v>UG</v>
      </c>
      <c r="C208" s="303" t="str">
        <f>'Kalk UHR GS Deisenhofen'!C208</f>
        <v>U.A.09a</v>
      </c>
      <c r="D208" s="303" t="str">
        <f>'Kalk UHR GS Deisenhofen'!D208</f>
        <v>Dusche</v>
      </c>
      <c r="E208" s="229"/>
      <c r="F208" s="195">
        <v>0</v>
      </c>
      <c r="G208" s="195">
        <v>12</v>
      </c>
      <c r="H208" s="186">
        <f t="shared" si="21"/>
        <v>0</v>
      </c>
      <c r="I208" s="549"/>
      <c r="J208" s="187"/>
      <c r="K208" s="188">
        <f t="shared" si="33"/>
        <v>0</v>
      </c>
      <c r="L208" s="548">
        <f t="shared" si="32"/>
        <v>0</v>
      </c>
      <c r="M208" s="189">
        <f t="shared" si="23"/>
        <v>0</v>
      </c>
      <c r="N208" s="189">
        <f t="shared" si="24"/>
        <v>0</v>
      </c>
      <c r="O208" s="189">
        <f t="shared" si="25"/>
        <v>0</v>
      </c>
    </row>
    <row r="209" spans="1:15" s="57" customFormat="1" ht="29.4" customHeight="1" x14ac:dyDescent="0.25">
      <c r="A209" s="303" t="str">
        <f>'Kalk UHR GS Deisenhofen'!A209</f>
        <v>Sporthalle</v>
      </c>
      <c r="B209" s="303" t="str">
        <f>'Kalk UHR GS Deisenhofen'!B209</f>
        <v>UG</v>
      </c>
      <c r="C209" s="303" t="str">
        <f>'Kalk UHR GS Deisenhofen'!C209</f>
        <v>U.A.09b</v>
      </c>
      <c r="D209" s="303" t="str">
        <f>'Kalk UHR GS Deisenhofen'!D209</f>
        <v>WC</v>
      </c>
      <c r="E209" s="229"/>
      <c r="F209" s="195">
        <v>0</v>
      </c>
      <c r="G209" s="195">
        <v>12</v>
      </c>
      <c r="H209" s="186">
        <f t="shared" si="21"/>
        <v>0</v>
      </c>
      <c r="I209" s="549"/>
      <c r="J209" s="187"/>
      <c r="K209" s="188">
        <f t="shared" si="33"/>
        <v>0</v>
      </c>
      <c r="L209" s="548">
        <f t="shared" si="32"/>
        <v>0</v>
      </c>
      <c r="M209" s="189">
        <f t="shared" si="23"/>
        <v>0</v>
      </c>
      <c r="N209" s="189">
        <f t="shared" si="24"/>
        <v>0</v>
      </c>
      <c r="O209" s="189">
        <f t="shared" si="25"/>
        <v>0</v>
      </c>
    </row>
    <row r="210" spans="1:15" s="57" customFormat="1" ht="29.4" customHeight="1" x14ac:dyDescent="0.25">
      <c r="A210" s="303" t="str">
        <f>'Kalk UHR GS Deisenhofen'!A210</f>
        <v>Sporthalle</v>
      </c>
      <c r="B210" s="303" t="str">
        <f>'Kalk UHR GS Deisenhofen'!B210</f>
        <v>UG</v>
      </c>
      <c r="C210" s="303" t="str">
        <f>'Kalk UHR GS Deisenhofen'!C210</f>
        <v>U.A.09c</v>
      </c>
      <c r="D210" s="303" t="str">
        <f>'Kalk UHR GS Deisenhofen'!D210</f>
        <v>WC</v>
      </c>
      <c r="E210" s="229"/>
      <c r="F210" s="195">
        <v>0</v>
      </c>
      <c r="G210" s="195">
        <v>12</v>
      </c>
      <c r="H210" s="186">
        <f t="shared" si="21"/>
        <v>0</v>
      </c>
      <c r="I210" s="549"/>
      <c r="J210" s="187"/>
      <c r="K210" s="188">
        <f t="shared" si="33"/>
        <v>0</v>
      </c>
      <c r="L210" s="548">
        <f t="shared" si="32"/>
        <v>0</v>
      </c>
      <c r="M210" s="189">
        <f t="shared" si="23"/>
        <v>0</v>
      </c>
      <c r="N210" s="189">
        <f t="shared" si="24"/>
        <v>0</v>
      </c>
      <c r="O210" s="189">
        <f t="shared" si="25"/>
        <v>0</v>
      </c>
    </row>
    <row r="211" spans="1:15" s="57" customFormat="1" ht="29.4" customHeight="1" x14ac:dyDescent="0.25">
      <c r="A211" s="303" t="str">
        <f>'Kalk UHR GS Deisenhofen'!A211</f>
        <v>Sporthalle</v>
      </c>
      <c r="B211" s="303" t="str">
        <f>'Kalk UHR GS Deisenhofen'!B211</f>
        <v>UG</v>
      </c>
      <c r="C211" s="303" t="str">
        <f>'Kalk UHR GS Deisenhofen'!C211</f>
        <v>U.A.10</v>
      </c>
      <c r="D211" s="303" t="str">
        <f>'Kalk UHR GS Deisenhofen'!D211</f>
        <v>Umkleide</v>
      </c>
      <c r="E211" s="229"/>
      <c r="F211" s="195">
        <v>0</v>
      </c>
      <c r="G211" s="195">
        <v>12</v>
      </c>
      <c r="H211" s="186">
        <f t="shared" si="21"/>
        <v>0</v>
      </c>
      <c r="I211" s="549"/>
      <c r="J211" s="187"/>
      <c r="K211" s="188">
        <f t="shared" si="33"/>
        <v>0</v>
      </c>
      <c r="L211" s="548">
        <f t="shared" si="32"/>
        <v>0</v>
      </c>
      <c r="M211" s="189">
        <f t="shared" si="23"/>
        <v>0</v>
      </c>
      <c r="N211" s="189">
        <f t="shared" si="24"/>
        <v>0</v>
      </c>
      <c r="O211" s="189">
        <f t="shared" si="25"/>
        <v>0</v>
      </c>
    </row>
    <row r="212" spans="1:15" s="57" customFormat="1" ht="29.4" customHeight="1" x14ac:dyDescent="0.25">
      <c r="A212" s="303" t="str">
        <f>'Kalk UHR GS Deisenhofen'!A212</f>
        <v>Sporthalle</v>
      </c>
      <c r="B212" s="303" t="str">
        <f>'Kalk UHR GS Deisenhofen'!B212</f>
        <v>UG</v>
      </c>
      <c r="C212" s="303" t="str">
        <f>'Kalk UHR GS Deisenhofen'!C212</f>
        <v>U.A.F.04</v>
      </c>
      <c r="D212" s="303" t="str">
        <f>'Kalk UHR GS Deisenhofen'!D212</f>
        <v>Flur</v>
      </c>
      <c r="E212" s="229">
        <f>1.72*2.34</f>
        <v>4.0247999999999999</v>
      </c>
      <c r="F212" s="195">
        <v>0</v>
      </c>
      <c r="G212" s="195">
        <v>12</v>
      </c>
      <c r="H212" s="186">
        <f t="shared" si="21"/>
        <v>48.297600000000003</v>
      </c>
      <c r="I212" s="549"/>
      <c r="J212" s="187"/>
      <c r="K212" s="188">
        <f t="shared" si="33"/>
        <v>0</v>
      </c>
      <c r="L212" s="548">
        <f t="shared" si="32"/>
        <v>0</v>
      </c>
      <c r="M212" s="189">
        <f t="shared" si="23"/>
        <v>0</v>
      </c>
      <c r="N212" s="189">
        <f t="shared" si="24"/>
        <v>0</v>
      </c>
      <c r="O212" s="189">
        <f t="shared" si="25"/>
        <v>0</v>
      </c>
    </row>
    <row r="213" spans="1:15" s="57" customFormat="1" ht="29.4" customHeight="1" x14ac:dyDescent="0.25">
      <c r="A213" s="303" t="str">
        <f>'Kalk UHR GS Deisenhofen'!A213</f>
        <v>Sporthalle</v>
      </c>
      <c r="B213" s="303" t="str">
        <f>'Kalk UHR GS Deisenhofen'!B213</f>
        <v>UG</v>
      </c>
      <c r="C213" s="303" t="str">
        <f>'Kalk UHR GS Deisenhofen'!C213</f>
        <v>U.A.F.05</v>
      </c>
      <c r="D213" s="303" t="str">
        <f>'Kalk UHR GS Deisenhofen'!D213</f>
        <v>Flur</v>
      </c>
      <c r="E213" s="229">
        <f>2.34*1.52+2.32*1.73</f>
        <v>7.5703999999999994</v>
      </c>
      <c r="F213" s="195">
        <v>0</v>
      </c>
      <c r="G213" s="195">
        <v>12</v>
      </c>
      <c r="H213" s="186">
        <f t="shared" si="21"/>
        <v>90.844799999999992</v>
      </c>
      <c r="I213" s="549"/>
      <c r="J213" s="187"/>
      <c r="K213" s="188">
        <f t="shared" si="33"/>
        <v>0</v>
      </c>
      <c r="L213" s="548">
        <f t="shared" si="32"/>
        <v>0</v>
      </c>
      <c r="M213" s="189">
        <f t="shared" si="23"/>
        <v>0</v>
      </c>
      <c r="N213" s="189">
        <f t="shared" si="24"/>
        <v>0</v>
      </c>
      <c r="O213" s="189">
        <f t="shared" si="25"/>
        <v>0</v>
      </c>
    </row>
    <row r="214" spans="1:15" s="57" customFormat="1" ht="29.4" customHeight="1" x14ac:dyDescent="0.25">
      <c r="A214" s="303" t="str">
        <f>'Kalk UHR GS Deisenhofen'!A214</f>
        <v>Sporthalle</v>
      </c>
      <c r="B214" s="303" t="str">
        <f>'Kalk UHR GS Deisenhofen'!B214</f>
        <v>UG</v>
      </c>
      <c r="C214" s="303" t="str">
        <f>'Kalk UHR GS Deisenhofen'!C214</f>
        <v>U.A.11</v>
      </c>
      <c r="D214" s="541" t="str">
        <f>'Kalk UHR GS Deisenhofen'!D214</f>
        <v>Lehrer-Umkleide inkl. Dusche und WC</v>
      </c>
      <c r="E214" s="229"/>
      <c r="F214" s="195">
        <v>0</v>
      </c>
      <c r="G214" s="195">
        <v>12</v>
      </c>
      <c r="H214" s="186">
        <f t="shared" si="21"/>
        <v>0</v>
      </c>
      <c r="I214" s="549"/>
      <c r="J214" s="187"/>
      <c r="K214" s="188">
        <f t="shared" si="33"/>
        <v>0</v>
      </c>
      <c r="L214" s="548">
        <f t="shared" si="32"/>
        <v>0</v>
      </c>
      <c r="M214" s="189">
        <f t="shared" si="23"/>
        <v>0</v>
      </c>
      <c r="N214" s="189">
        <f t="shared" si="24"/>
        <v>0</v>
      </c>
      <c r="O214" s="189">
        <f t="shared" si="25"/>
        <v>0</v>
      </c>
    </row>
    <row r="215" spans="1:15" s="57" customFormat="1" ht="29.4" customHeight="1" x14ac:dyDescent="0.25">
      <c r="A215" s="303" t="str">
        <f>'Kalk UHR GS Deisenhofen'!A215</f>
        <v>Sporthalle</v>
      </c>
      <c r="B215" s="303" t="str">
        <f>'Kalk UHR GS Deisenhofen'!B215</f>
        <v>UG</v>
      </c>
      <c r="C215" s="303" t="str">
        <f>'Kalk UHR GS Deisenhofen'!C215</f>
        <v>U.A.12</v>
      </c>
      <c r="D215" s="541" t="str">
        <f>'Kalk UHR GS Deisenhofen'!D215</f>
        <v>Lehrer-Umkleide inkl. Dusche und WC</v>
      </c>
      <c r="E215" s="229"/>
      <c r="F215" s="195">
        <v>0</v>
      </c>
      <c r="G215" s="195">
        <v>12</v>
      </c>
      <c r="H215" s="186">
        <f t="shared" si="21"/>
        <v>0</v>
      </c>
      <c r="I215" s="549"/>
      <c r="J215" s="187"/>
      <c r="K215" s="188">
        <f t="shared" si="33"/>
        <v>0</v>
      </c>
      <c r="L215" s="548">
        <f t="shared" si="32"/>
        <v>0</v>
      </c>
      <c r="M215" s="189">
        <f t="shared" si="23"/>
        <v>0</v>
      </c>
      <c r="N215" s="189">
        <f t="shared" si="24"/>
        <v>0</v>
      </c>
      <c r="O215" s="189">
        <f t="shared" si="25"/>
        <v>0</v>
      </c>
    </row>
    <row r="216" spans="1:15" s="57" customFormat="1" ht="29.4" customHeight="1" x14ac:dyDescent="0.25">
      <c r="A216" s="303" t="str">
        <f>'Kalk UHR GS Deisenhofen'!A216</f>
        <v>Sporthalle</v>
      </c>
      <c r="B216" s="303" t="str">
        <f>'Kalk UHR GS Deisenhofen'!B216</f>
        <v>UG</v>
      </c>
      <c r="C216" s="303" t="str">
        <f>'Kalk UHR GS Deisenhofen'!C216</f>
        <v>U.A.13</v>
      </c>
      <c r="D216" s="303" t="str">
        <f>'Kalk UHR GS Deisenhofen'!D216</f>
        <v>Umkleide</v>
      </c>
      <c r="E216" s="229"/>
      <c r="F216" s="195">
        <v>0</v>
      </c>
      <c r="G216" s="195">
        <v>12</v>
      </c>
      <c r="H216" s="186">
        <f t="shared" si="21"/>
        <v>0</v>
      </c>
      <c r="I216" s="549"/>
      <c r="J216" s="187"/>
      <c r="K216" s="188">
        <f t="shared" si="33"/>
        <v>0</v>
      </c>
      <c r="L216" s="548">
        <f t="shared" si="32"/>
        <v>0</v>
      </c>
      <c r="M216" s="189">
        <f t="shared" si="23"/>
        <v>0</v>
      </c>
      <c r="N216" s="189">
        <f t="shared" si="24"/>
        <v>0</v>
      </c>
      <c r="O216" s="189">
        <f t="shared" si="25"/>
        <v>0</v>
      </c>
    </row>
    <row r="217" spans="1:15" s="57" customFormat="1" ht="29.4" customHeight="1" x14ac:dyDescent="0.25">
      <c r="A217" s="303" t="str">
        <f>'Kalk UHR GS Deisenhofen'!A217</f>
        <v>Sporthalle</v>
      </c>
      <c r="B217" s="303" t="str">
        <f>'Kalk UHR GS Deisenhofen'!B217</f>
        <v>UG</v>
      </c>
      <c r="C217" s="303" t="str">
        <f>'Kalk UHR GS Deisenhofen'!C217</f>
        <v>U.A.13a</v>
      </c>
      <c r="D217" s="303" t="str">
        <f>'Kalk UHR GS Deisenhofen'!D217</f>
        <v>Dusche</v>
      </c>
      <c r="E217" s="229"/>
      <c r="F217" s="195">
        <v>0</v>
      </c>
      <c r="G217" s="195">
        <v>12</v>
      </c>
      <c r="H217" s="186">
        <f t="shared" si="21"/>
        <v>0</v>
      </c>
      <c r="I217" s="549"/>
      <c r="J217" s="187"/>
      <c r="K217" s="188">
        <f t="shared" si="33"/>
        <v>0</v>
      </c>
      <c r="L217" s="548">
        <f t="shared" si="32"/>
        <v>0</v>
      </c>
      <c r="M217" s="189">
        <f t="shared" si="23"/>
        <v>0</v>
      </c>
      <c r="N217" s="189">
        <f t="shared" si="24"/>
        <v>0</v>
      </c>
      <c r="O217" s="189">
        <f t="shared" si="25"/>
        <v>0</v>
      </c>
    </row>
    <row r="218" spans="1:15" s="57" customFormat="1" ht="29.4" customHeight="1" x14ac:dyDescent="0.25">
      <c r="A218" s="303" t="str">
        <f>'Kalk UHR GS Deisenhofen'!A218</f>
        <v>Sporthalle</v>
      </c>
      <c r="B218" s="303" t="str">
        <f>'Kalk UHR GS Deisenhofen'!B218</f>
        <v>UG</v>
      </c>
      <c r="C218" s="303" t="str">
        <f>'Kalk UHR GS Deisenhofen'!C218</f>
        <v>U.A.13b</v>
      </c>
      <c r="D218" s="303" t="str">
        <f>'Kalk UHR GS Deisenhofen'!D218</f>
        <v>WC</v>
      </c>
      <c r="E218" s="229"/>
      <c r="F218" s="195">
        <v>0</v>
      </c>
      <c r="G218" s="195">
        <v>12</v>
      </c>
      <c r="H218" s="186">
        <f t="shared" ref="H218" si="34">+E218*F218+E218*G218</f>
        <v>0</v>
      </c>
      <c r="I218" s="549"/>
      <c r="J218" s="187"/>
      <c r="K218" s="188">
        <f t="shared" ref="K218" si="35">IFERROR((F218*E218/I218),0)+IFERROR((G218*E218/J218),0)</f>
        <v>0</v>
      </c>
      <c r="L218" s="548">
        <f t="shared" si="32"/>
        <v>0</v>
      </c>
      <c r="M218" s="189">
        <f t="shared" ref="M218" si="36">IF(ISERROR(L218/I218),0,L218/I218)</f>
        <v>0</v>
      </c>
      <c r="N218" s="189">
        <f t="shared" ref="N218" si="37">IF(ISERROR(L218/J218),0,L218/J218)</f>
        <v>0</v>
      </c>
      <c r="O218" s="189">
        <f t="shared" ref="O218" si="38">K218*L218</f>
        <v>0</v>
      </c>
    </row>
    <row r="219" spans="1:15" s="57" customFormat="1" ht="29.4" customHeight="1" x14ac:dyDescent="0.25">
      <c r="A219" s="303" t="str">
        <f>'Kalk UHR GS Deisenhofen'!A219</f>
        <v>Sporthalle</v>
      </c>
      <c r="B219" s="303" t="str">
        <f>'Kalk UHR GS Deisenhofen'!B219</f>
        <v>UG</v>
      </c>
      <c r="C219" s="303" t="str">
        <f>'Kalk UHR GS Deisenhofen'!C219</f>
        <v>U.A.13c</v>
      </c>
      <c r="D219" s="303" t="str">
        <f>'Kalk UHR GS Deisenhofen'!D219</f>
        <v>WC</v>
      </c>
      <c r="E219" s="229"/>
      <c r="F219" s="195">
        <v>0</v>
      </c>
      <c r="G219" s="195">
        <v>12</v>
      </c>
      <c r="H219" s="186">
        <f t="shared" ref="H219:H241" si="39">+E219*F219+E219*G219</f>
        <v>0</v>
      </c>
      <c r="I219" s="549"/>
      <c r="J219" s="187"/>
      <c r="K219" s="188">
        <f t="shared" ref="K219:K241" si="40">IFERROR((F219*E219/I219),0)+IFERROR((G219*E219/J219),0)</f>
        <v>0</v>
      </c>
      <c r="L219" s="548">
        <f t="shared" si="32"/>
        <v>0</v>
      </c>
      <c r="M219" s="189">
        <f t="shared" ref="M219:M241" si="41">IF(ISERROR(L219/I219),0,L219/I219)</f>
        <v>0</v>
      </c>
      <c r="N219" s="189">
        <f t="shared" ref="N219:N241" si="42">IF(ISERROR(L219/J219),0,L219/J219)</f>
        <v>0</v>
      </c>
      <c r="O219" s="189">
        <f t="shared" ref="O219:O241" si="43">K219*L219</f>
        <v>0</v>
      </c>
    </row>
    <row r="220" spans="1:15" s="57" customFormat="1" ht="29.4" customHeight="1" x14ac:dyDescent="0.25">
      <c r="A220" s="303" t="str">
        <f>'Kalk UHR GS Deisenhofen'!A220</f>
        <v>Sporthalle</v>
      </c>
      <c r="B220" s="303" t="str">
        <f>'Kalk UHR GS Deisenhofen'!B220</f>
        <v>UG</v>
      </c>
      <c r="C220" s="303" t="str">
        <f>'Kalk UHR GS Deisenhofen'!C220</f>
        <v>U.A.14</v>
      </c>
      <c r="D220" s="303" t="str">
        <f>'Kalk UHR GS Deisenhofen'!D220</f>
        <v>Umkleide</v>
      </c>
      <c r="E220" s="229"/>
      <c r="F220" s="195">
        <v>0</v>
      </c>
      <c r="G220" s="195">
        <v>12</v>
      </c>
      <c r="H220" s="186">
        <f t="shared" si="39"/>
        <v>0</v>
      </c>
      <c r="I220" s="549"/>
      <c r="J220" s="187"/>
      <c r="K220" s="188">
        <f t="shared" si="40"/>
        <v>0</v>
      </c>
      <c r="L220" s="548">
        <f t="shared" si="32"/>
        <v>0</v>
      </c>
      <c r="M220" s="189">
        <f t="shared" si="41"/>
        <v>0</v>
      </c>
      <c r="N220" s="189">
        <f t="shared" si="42"/>
        <v>0</v>
      </c>
      <c r="O220" s="189">
        <f t="shared" si="43"/>
        <v>0</v>
      </c>
    </row>
    <row r="221" spans="1:15" s="57" customFormat="1" ht="29.4" customHeight="1" x14ac:dyDescent="0.25">
      <c r="A221" s="303" t="str">
        <f>'Kalk UHR GS Deisenhofen'!A221</f>
        <v>Sporthalle</v>
      </c>
      <c r="B221" s="303" t="str">
        <f>'Kalk UHR GS Deisenhofen'!B221</f>
        <v>UG</v>
      </c>
      <c r="C221" s="303" t="str">
        <f>'Kalk UHR GS Deisenhofen'!C221</f>
        <v>U.A.F.06</v>
      </c>
      <c r="D221" s="303" t="str">
        <f>'Kalk UHR GS Deisenhofen'!D221</f>
        <v>Flur</v>
      </c>
      <c r="E221" s="229"/>
      <c r="F221" s="195">
        <v>0</v>
      </c>
      <c r="G221" s="195">
        <v>12</v>
      </c>
      <c r="H221" s="186">
        <f t="shared" si="39"/>
        <v>0</v>
      </c>
      <c r="I221" s="549"/>
      <c r="J221" s="187"/>
      <c r="K221" s="188">
        <f t="shared" si="40"/>
        <v>0</v>
      </c>
      <c r="L221" s="548">
        <f t="shared" si="32"/>
        <v>0</v>
      </c>
      <c r="M221" s="189">
        <f t="shared" si="41"/>
        <v>0</v>
      </c>
      <c r="N221" s="189">
        <f t="shared" si="42"/>
        <v>0</v>
      </c>
      <c r="O221" s="189">
        <f t="shared" si="43"/>
        <v>0</v>
      </c>
    </row>
    <row r="222" spans="1:15" s="57" customFormat="1" ht="29.4" customHeight="1" x14ac:dyDescent="0.25">
      <c r="A222" s="303" t="str">
        <f>'Kalk UHR GS Deisenhofen'!A222</f>
        <v>Schule</v>
      </c>
      <c r="B222" s="303" t="str">
        <f>'Kalk UHR GS Deisenhofen'!B222</f>
        <v>UG</v>
      </c>
      <c r="C222" s="303" t="str">
        <f>'Kalk UHR GS Deisenhofen'!C222</f>
        <v>U.C.15</v>
      </c>
      <c r="D222" s="303" t="str">
        <f>'Kalk UHR GS Deisenhofen'!D222</f>
        <v>Stuhllager</v>
      </c>
      <c r="E222" s="229"/>
      <c r="F222" s="195">
        <v>0</v>
      </c>
      <c r="G222" s="195">
        <v>12</v>
      </c>
      <c r="H222" s="186">
        <f t="shared" si="39"/>
        <v>0</v>
      </c>
      <c r="I222" s="549"/>
      <c r="J222" s="187"/>
      <c r="K222" s="188">
        <f t="shared" si="40"/>
        <v>0</v>
      </c>
      <c r="L222" s="548">
        <f t="shared" si="32"/>
        <v>0</v>
      </c>
      <c r="M222" s="189">
        <f t="shared" si="41"/>
        <v>0</v>
      </c>
      <c r="N222" s="189">
        <f t="shared" si="42"/>
        <v>0</v>
      </c>
      <c r="O222" s="189">
        <f t="shared" si="43"/>
        <v>0</v>
      </c>
    </row>
    <row r="223" spans="1:15" s="57" customFormat="1" ht="29.4" customHeight="1" x14ac:dyDescent="0.25">
      <c r="A223" s="303" t="str">
        <f>'Kalk UHR GS Deisenhofen'!A223</f>
        <v>Schule</v>
      </c>
      <c r="B223" s="303" t="str">
        <f>'Kalk UHR GS Deisenhofen'!B223</f>
        <v>UG</v>
      </c>
      <c r="C223" s="303" t="str">
        <f>'Kalk UHR GS Deisenhofen'!C223</f>
        <v>U.C.16</v>
      </c>
      <c r="D223" s="303" t="str">
        <f>'Kalk UHR GS Deisenhofen'!D223</f>
        <v>Lager Sporthalle</v>
      </c>
      <c r="E223" s="229"/>
      <c r="F223" s="195">
        <v>0</v>
      </c>
      <c r="G223" s="195">
        <v>12</v>
      </c>
      <c r="H223" s="186">
        <f t="shared" si="39"/>
        <v>0</v>
      </c>
      <c r="I223" s="549"/>
      <c r="J223" s="187"/>
      <c r="K223" s="188">
        <f t="shared" si="40"/>
        <v>0</v>
      </c>
      <c r="L223" s="548">
        <f t="shared" si="32"/>
        <v>0</v>
      </c>
      <c r="M223" s="189">
        <f t="shared" si="41"/>
        <v>0</v>
      </c>
      <c r="N223" s="189">
        <f t="shared" si="42"/>
        <v>0</v>
      </c>
      <c r="O223" s="189">
        <f t="shared" si="43"/>
        <v>0</v>
      </c>
    </row>
    <row r="224" spans="1:15" s="57" customFormat="1" ht="29.4" customHeight="1" x14ac:dyDescent="0.25">
      <c r="A224" s="303" t="str">
        <f>'Kalk UHR GS Deisenhofen'!A224</f>
        <v>Schule</v>
      </c>
      <c r="B224" s="303" t="str">
        <f>'Kalk UHR GS Deisenhofen'!B224</f>
        <v>UG</v>
      </c>
      <c r="C224" s="303" t="str">
        <f>'Kalk UHR GS Deisenhofen'!C224</f>
        <v>U.C.17</v>
      </c>
      <c r="D224" s="303" t="str">
        <f>'Kalk UHR GS Deisenhofen'!D224</f>
        <v>Putzraum</v>
      </c>
      <c r="E224" s="229"/>
      <c r="F224" s="195">
        <v>0</v>
      </c>
      <c r="G224" s="195">
        <v>12</v>
      </c>
      <c r="H224" s="186">
        <f t="shared" si="39"/>
        <v>0</v>
      </c>
      <c r="I224" s="549"/>
      <c r="J224" s="187"/>
      <c r="K224" s="188">
        <f t="shared" si="40"/>
        <v>0</v>
      </c>
      <c r="L224" s="548">
        <f t="shared" si="32"/>
        <v>0</v>
      </c>
      <c r="M224" s="189">
        <f t="shared" si="41"/>
        <v>0</v>
      </c>
      <c r="N224" s="189">
        <f t="shared" si="42"/>
        <v>0</v>
      </c>
      <c r="O224" s="189">
        <f t="shared" si="43"/>
        <v>0</v>
      </c>
    </row>
    <row r="225" spans="1:15" s="57" customFormat="1" ht="29.4" customHeight="1" x14ac:dyDescent="0.25">
      <c r="A225" s="303" t="str">
        <f>'Kalk UHR GS Deisenhofen'!A225</f>
        <v>Schule</v>
      </c>
      <c r="B225" s="303" t="str">
        <f>'Kalk UHR GS Deisenhofen'!B225</f>
        <v>UG</v>
      </c>
      <c r="C225" s="303" t="str">
        <f>'Kalk UHR GS Deisenhofen'!C225</f>
        <v>U.C.F.07</v>
      </c>
      <c r="D225" s="303" t="str">
        <f>'Kalk UHR GS Deisenhofen'!D225</f>
        <v>Flur</v>
      </c>
      <c r="E225" s="229"/>
      <c r="F225" s="195">
        <v>0</v>
      </c>
      <c r="G225" s="195">
        <v>12</v>
      </c>
      <c r="H225" s="186">
        <f t="shared" si="39"/>
        <v>0</v>
      </c>
      <c r="I225" s="549"/>
      <c r="J225" s="187"/>
      <c r="K225" s="188">
        <f t="shared" si="40"/>
        <v>0</v>
      </c>
      <c r="L225" s="548">
        <f t="shared" si="32"/>
        <v>0</v>
      </c>
      <c r="M225" s="189">
        <f t="shared" si="41"/>
        <v>0</v>
      </c>
      <c r="N225" s="189">
        <f t="shared" si="42"/>
        <v>0</v>
      </c>
      <c r="O225" s="189">
        <f t="shared" si="43"/>
        <v>0</v>
      </c>
    </row>
    <row r="226" spans="1:15" s="57" customFormat="1" ht="29.4" customHeight="1" x14ac:dyDescent="0.25">
      <c r="A226" s="303" t="str">
        <f>'Kalk UHR GS Deisenhofen'!A226</f>
        <v>Schule</v>
      </c>
      <c r="B226" s="303" t="str">
        <f>'Kalk UHR GS Deisenhofen'!B226</f>
        <v>UG</v>
      </c>
      <c r="C226" s="303" t="str">
        <f>'Kalk UHR GS Deisenhofen'!C226</f>
        <v>U.C.18</v>
      </c>
      <c r="D226" s="303" t="str">
        <f>'Kalk UHR GS Deisenhofen'!D226</f>
        <v>Requisiten/Lager</v>
      </c>
      <c r="E226" s="229"/>
      <c r="F226" s="195">
        <v>0</v>
      </c>
      <c r="G226" s="195">
        <v>12</v>
      </c>
      <c r="H226" s="186">
        <f t="shared" si="39"/>
        <v>0</v>
      </c>
      <c r="I226" s="549"/>
      <c r="J226" s="187"/>
      <c r="K226" s="188">
        <f t="shared" si="40"/>
        <v>0</v>
      </c>
      <c r="L226" s="548">
        <f t="shared" si="32"/>
        <v>0</v>
      </c>
      <c r="M226" s="189">
        <f t="shared" si="41"/>
        <v>0</v>
      </c>
      <c r="N226" s="189">
        <f t="shared" si="42"/>
        <v>0</v>
      </c>
      <c r="O226" s="189">
        <f t="shared" si="43"/>
        <v>0</v>
      </c>
    </row>
    <row r="227" spans="1:15" s="57" customFormat="1" ht="29.4" customHeight="1" x14ac:dyDescent="0.25">
      <c r="A227" s="303" t="str">
        <f>'Kalk UHR GS Deisenhofen'!A227</f>
        <v>Schule</v>
      </c>
      <c r="B227" s="303" t="str">
        <f>'Kalk UHR GS Deisenhofen'!B227</f>
        <v>UG</v>
      </c>
      <c r="C227" s="303" t="str">
        <f>'Kalk UHR GS Deisenhofen'!C227</f>
        <v>U.C.19</v>
      </c>
      <c r="D227" s="303" t="str">
        <f>'Kalk UHR GS Deisenhofen'!D227</f>
        <v>S.i.B. EL</v>
      </c>
      <c r="E227" s="229"/>
      <c r="F227" s="195">
        <v>0</v>
      </c>
      <c r="G227" s="195">
        <v>12</v>
      </c>
      <c r="H227" s="186">
        <f t="shared" si="39"/>
        <v>0</v>
      </c>
      <c r="I227" s="549"/>
      <c r="J227" s="187"/>
      <c r="K227" s="188">
        <f t="shared" si="40"/>
        <v>0</v>
      </c>
      <c r="L227" s="548">
        <f t="shared" si="32"/>
        <v>0</v>
      </c>
      <c r="M227" s="189">
        <f t="shared" si="41"/>
        <v>0</v>
      </c>
      <c r="N227" s="189">
        <f t="shared" si="42"/>
        <v>0</v>
      </c>
      <c r="O227" s="189">
        <f t="shared" si="43"/>
        <v>0</v>
      </c>
    </row>
    <row r="228" spans="1:15" s="57" customFormat="1" ht="29.4" customHeight="1" x14ac:dyDescent="0.25">
      <c r="A228" s="303" t="str">
        <f>'Kalk UHR GS Deisenhofen'!A228</f>
        <v>Schule</v>
      </c>
      <c r="B228" s="303" t="str">
        <f>'Kalk UHR GS Deisenhofen'!B228</f>
        <v>UG</v>
      </c>
      <c r="C228" s="303" t="str">
        <f>'Kalk UHR GS Deisenhofen'!C228</f>
        <v>U.C.20</v>
      </c>
      <c r="D228" s="303" t="str">
        <f>'Kalk UHR GS Deisenhofen'!D228</f>
        <v>BMZ</v>
      </c>
      <c r="E228" s="229"/>
      <c r="F228" s="195">
        <v>0</v>
      </c>
      <c r="G228" s="195">
        <v>12</v>
      </c>
      <c r="H228" s="186">
        <f t="shared" ref="H228:H239" si="44">+E228*F228+E228*G228</f>
        <v>0</v>
      </c>
      <c r="I228" s="549"/>
      <c r="J228" s="187"/>
      <c r="K228" s="188">
        <f t="shared" ref="K228:K239" si="45">IFERROR((F228*E228/I228),0)+IFERROR((G228*E228/J228),0)</f>
        <v>0</v>
      </c>
      <c r="L228" s="548">
        <f t="shared" si="32"/>
        <v>0</v>
      </c>
      <c r="M228" s="189">
        <f t="shared" ref="M228:M239" si="46">IF(ISERROR(L228/I228),0,L228/I228)</f>
        <v>0</v>
      </c>
      <c r="N228" s="189">
        <f t="shared" ref="N228:N239" si="47">IF(ISERROR(L228/J228),0,L228/J228)</f>
        <v>0</v>
      </c>
      <c r="O228" s="189">
        <f t="shared" ref="O228:O239" si="48">K228*L228</f>
        <v>0</v>
      </c>
    </row>
    <row r="229" spans="1:15" s="57" customFormat="1" ht="29.4" customHeight="1" x14ac:dyDescent="0.25">
      <c r="A229" s="303" t="str">
        <f>'Kalk UHR GS Deisenhofen'!A229</f>
        <v>Schule</v>
      </c>
      <c r="B229" s="303" t="str">
        <f>'Kalk UHR GS Deisenhofen'!B229</f>
        <v>UG</v>
      </c>
      <c r="C229" s="303" t="str">
        <f>'Kalk UHR GS Deisenhofen'!C229</f>
        <v>U.C.21</v>
      </c>
      <c r="D229" s="303" t="str">
        <f>'Kalk UHR GS Deisenhofen'!D229</f>
        <v>IT</v>
      </c>
      <c r="E229" s="229"/>
      <c r="F229" s="195">
        <v>0</v>
      </c>
      <c r="G229" s="195">
        <v>12</v>
      </c>
      <c r="H229" s="186">
        <f t="shared" si="44"/>
        <v>0</v>
      </c>
      <c r="I229" s="549"/>
      <c r="J229" s="187"/>
      <c r="K229" s="188">
        <f t="shared" si="45"/>
        <v>0</v>
      </c>
      <c r="L229" s="548">
        <f t="shared" si="32"/>
        <v>0</v>
      </c>
      <c r="M229" s="189">
        <f t="shared" si="46"/>
        <v>0</v>
      </c>
      <c r="N229" s="189">
        <f t="shared" si="47"/>
        <v>0</v>
      </c>
      <c r="O229" s="189">
        <f t="shared" si="48"/>
        <v>0</v>
      </c>
    </row>
    <row r="230" spans="1:15" s="57" customFormat="1" ht="29.4" customHeight="1" x14ac:dyDescent="0.25">
      <c r="A230" s="303" t="str">
        <f>'Kalk UHR GS Deisenhofen'!A230</f>
        <v>Schule</v>
      </c>
      <c r="B230" s="303" t="str">
        <f>'Kalk UHR GS Deisenhofen'!B230</f>
        <v>UG</v>
      </c>
      <c r="C230" s="303" t="str">
        <f>'Kalk UHR GS Deisenhofen'!C230</f>
        <v>U.C.22</v>
      </c>
      <c r="D230" s="303" t="str">
        <f>'Kalk UHR GS Deisenhofen'!D230</f>
        <v>Technik</v>
      </c>
      <c r="E230" s="229"/>
      <c r="F230" s="195">
        <v>0</v>
      </c>
      <c r="G230" s="195">
        <v>12</v>
      </c>
      <c r="H230" s="186">
        <f t="shared" si="44"/>
        <v>0</v>
      </c>
      <c r="I230" s="549"/>
      <c r="J230" s="187"/>
      <c r="K230" s="188">
        <f t="shared" si="45"/>
        <v>0</v>
      </c>
      <c r="L230" s="548">
        <f t="shared" si="32"/>
        <v>0</v>
      </c>
      <c r="M230" s="189">
        <f t="shared" si="46"/>
        <v>0</v>
      </c>
      <c r="N230" s="189">
        <f t="shared" si="47"/>
        <v>0</v>
      </c>
      <c r="O230" s="189">
        <f t="shared" si="48"/>
        <v>0</v>
      </c>
    </row>
    <row r="231" spans="1:15" s="57" customFormat="1" ht="29.4" customHeight="1" x14ac:dyDescent="0.25">
      <c r="A231" s="303" t="str">
        <f>'Kalk UHR GS Deisenhofen'!A231</f>
        <v>Schule</v>
      </c>
      <c r="B231" s="303" t="str">
        <f>'Kalk UHR GS Deisenhofen'!B231</f>
        <v>UG</v>
      </c>
      <c r="C231" s="303" t="str">
        <f>'Kalk UHR GS Deisenhofen'!C231</f>
        <v>U.C.K.01</v>
      </c>
      <c r="D231" s="303" t="str">
        <f>'Kalk UHR GS Deisenhofen'!D231</f>
        <v>Kriechgang</v>
      </c>
      <c r="E231" s="229"/>
      <c r="F231" s="195">
        <v>0</v>
      </c>
      <c r="G231" s="195">
        <v>12</v>
      </c>
      <c r="H231" s="186">
        <f t="shared" si="44"/>
        <v>0</v>
      </c>
      <c r="I231" s="549"/>
      <c r="J231" s="187"/>
      <c r="K231" s="188">
        <f t="shared" si="45"/>
        <v>0</v>
      </c>
      <c r="L231" s="548">
        <f t="shared" si="32"/>
        <v>0</v>
      </c>
      <c r="M231" s="189">
        <f t="shared" si="46"/>
        <v>0</v>
      </c>
      <c r="N231" s="189">
        <f t="shared" si="47"/>
        <v>0</v>
      </c>
      <c r="O231" s="189">
        <f t="shared" si="48"/>
        <v>0</v>
      </c>
    </row>
    <row r="232" spans="1:15" s="57" customFormat="1" ht="29.4" customHeight="1" x14ac:dyDescent="0.25">
      <c r="A232" s="303" t="str">
        <f>'Kalk UHR GS Deisenhofen'!A232</f>
        <v>Schule</v>
      </c>
      <c r="B232" s="303" t="str">
        <f>'Kalk UHR GS Deisenhofen'!B232</f>
        <v>UG</v>
      </c>
      <c r="C232" s="303" t="str">
        <f>'Kalk UHR GS Deisenhofen'!C232</f>
        <v>U.C.K.01a</v>
      </c>
      <c r="D232" s="303" t="str">
        <f>'Kalk UHR GS Deisenhofen'!D232</f>
        <v>Kriechgang</v>
      </c>
      <c r="E232" s="229"/>
      <c r="F232" s="195">
        <v>0</v>
      </c>
      <c r="G232" s="195">
        <v>12</v>
      </c>
      <c r="H232" s="186">
        <f t="shared" si="44"/>
        <v>0</v>
      </c>
      <c r="I232" s="549"/>
      <c r="J232" s="187"/>
      <c r="K232" s="188">
        <f t="shared" si="45"/>
        <v>0</v>
      </c>
      <c r="L232" s="548">
        <f t="shared" si="32"/>
        <v>0</v>
      </c>
      <c r="M232" s="189">
        <f t="shared" si="46"/>
        <v>0</v>
      </c>
      <c r="N232" s="189">
        <f t="shared" si="47"/>
        <v>0</v>
      </c>
      <c r="O232" s="189">
        <f t="shared" si="48"/>
        <v>0</v>
      </c>
    </row>
    <row r="233" spans="1:15" s="57" customFormat="1" ht="29.4" customHeight="1" x14ac:dyDescent="0.25">
      <c r="A233" s="303" t="str">
        <f>'Kalk UHR GS Deisenhofen'!A233</f>
        <v>Schule</v>
      </c>
      <c r="B233" s="303" t="str">
        <f>'Kalk UHR GS Deisenhofen'!B233</f>
        <v>UG</v>
      </c>
      <c r="C233" s="303" t="str">
        <f>'Kalk UHR GS Deisenhofen'!C233</f>
        <v>U.C.23</v>
      </c>
      <c r="D233" s="303" t="str">
        <f>'Kalk UHR GS Deisenhofen'!D233</f>
        <v>Lager</v>
      </c>
      <c r="E233" s="229"/>
      <c r="F233" s="195">
        <v>0</v>
      </c>
      <c r="G233" s="195">
        <v>12</v>
      </c>
      <c r="H233" s="186">
        <f t="shared" si="44"/>
        <v>0</v>
      </c>
      <c r="I233" s="549"/>
      <c r="J233" s="187"/>
      <c r="K233" s="188">
        <f t="shared" si="45"/>
        <v>0</v>
      </c>
      <c r="L233" s="548">
        <f t="shared" si="32"/>
        <v>0</v>
      </c>
      <c r="M233" s="189">
        <f t="shared" si="46"/>
        <v>0</v>
      </c>
      <c r="N233" s="189">
        <f t="shared" si="47"/>
        <v>0</v>
      </c>
      <c r="O233" s="189">
        <f t="shared" si="48"/>
        <v>0</v>
      </c>
    </row>
    <row r="234" spans="1:15" s="57" customFormat="1" ht="29.4" customHeight="1" x14ac:dyDescent="0.25">
      <c r="A234" s="303" t="str">
        <f>'Kalk UHR GS Deisenhofen'!A234</f>
        <v>Schule</v>
      </c>
      <c r="B234" s="303" t="str">
        <f>'Kalk UHR GS Deisenhofen'!B234</f>
        <v>UG</v>
      </c>
      <c r="C234" s="303" t="str">
        <f>'Kalk UHR GS Deisenhofen'!C234</f>
        <v>U.C.F.08</v>
      </c>
      <c r="D234" s="303" t="str">
        <f>'Kalk UHR GS Deisenhofen'!D234</f>
        <v>Flur</v>
      </c>
      <c r="E234" s="229"/>
      <c r="F234" s="195">
        <v>0</v>
      </c>
      <c r="G234" s="195">
        <v>12</v>
      </c>
      <c r="H234" s="186">
        <f t="shared" si="44"/>
        <v>0</v>
      </c>
      <c r="I234" s="549"/>
      <c r="J234" s="187"/>
      <c r="K234" s="188">
        <f t="shared" si="45"/>
        <v>0</v>
      </c>
      <c r="L234" s="548">
        <f t="shared" si="32"/>
        <v>0</v>
      </c>
      <c r="M234" s="189">
        <f t="shared" si="46"/>
        <v>0</v>
      </c>
      <c r="N234" s="189">
        <f t="shared" si="47"/>
        <v>0</v>
      </c>
      <c r="O234" s="189">
        <f t="shared" si="48"/>
        <v>0</v>
      </c>
    </row>
    <row r="235" spans="1:15" s="57" customFormat="1" ht="29.4" customHeight="1" x14ac:dyDescent="0.25">
      <c r="A235" s="303" t="str">
        <f>'Kalk UHR GS Deisenhofen'!A235</f>
        <v>Schule</v>
      </c>
      <c r="B235" s="303" t="str">
        <f>'Kalk UHR GS Deisenhofen'!B235</f>
        <v>UG</v>
      </c>
      <c r="C235" s="303" t="str">
        <f>'Kalk UHR GS Deisenhofen'!C235</f>
        <v>U.D.F.09</v>
      </c>
      <c r="D235" s="303" t="str">
        <f>'Kalk UHR GS Deisenhofen'!D235</f>
        <v>Flur</v>
      </c>
      <c r="E235" s="229"/>
      <c r="F235" s="195">
        <v>0</v>
      </c>
      <c r="G235" s="195">
        <v>12</v>
      </c>
      <c r="H235" s="186">
        <f t="shared" si="44"/>
        <v>0</v>
      </c>
      <c r="I235" s="549"/>
      <c r="J235" s="187"/>
      <c r="K235" s="188">
        <f t="shared" si="45"/>
        <v>0</v>
      </c>
      <c r="L235" s="548">
        <f t="shared" si="32"/>
        <v>0</v>
      </c>
      <c r="M235" s="189">
        <f t="shared" si="46"/>
        <v>0</v>
      </c>
      <c r="N235" s="189">
        <f t="shared" si="47"/>
        <v>0</v>
      </c>
      <c r="O235" s="189">
        <f t="shared" si="48"/>
        <v>0</v>
      </c>
    </row>
    <row r="236" spans="1:15" s="57" customFormat="1" ht="29.4" customHeight="1" x14ac:dyDescent="0.25">
      <c r="A236" s="303" t="str">
        <f>'Kalk UHR GS Deisenhofen'!A236</f>
        <v>Schule</v>
      </c>
      <c r="B236" s="303" t="str">
        <f>'Kalk UHR GS Deisenhofen'!B236</f>
        <v>UG</v>
      </c>
      <c r="C236" s="303" t="str">
        <f>'Kalk UHR GS Deisenhofen'!C236</f>
        <v>U.D.24</v>
      </c>
      <c r="D236" s="303" t="str">
        <f>'Kalk UHR GS Deisenhofen'!D236</f>
        <v>Werkstatt</v>
      </c>
      <c r="E236" s="229"/>
      <c r="F236" s="195">
        <v>0</v>
      </c>
      <c r="G236" s="195">
        <v>12</v>
      </c>
      <c r="H236" s="186">
        <f t="shared" si="44"/>
        <v>0</v>
      </c>
      <c r="I236" s="549"/>
      <c r="J236" s="187"/>
      <c r="K236" s="188">
        <f t="shared" si="45"/>
        <v>0</v>
      </c>
      <c r="L236" s="548">
        <f t="shared" si="32"/>
        <v>0</v>
      </c>
      <c r="M236" s="189">
        <f t="shared" si="46"/>
        <v>0</v>
      </c>
      <c r="N236" s="189">
        <f t="shared" si="47"/>
        <v>0</v>
      </c>
      <c r="O236" s="189">
        <f t="shared" si="48"/>
        <v>0</v>
      </c>
    </row>
    <row r="237" spans="1:15" s="57" customFormat="1" ht="29.4" customHeight="1" x14ac:dyDescent="0.25">
      <c r="A237" s="303" t="str">
        <f>'Kalk UHR GS Deisenhofen'!A237</f>
        <v>Schule</v>
      </c>
      <c r="B237" s="303" t="str">
        <f>'Kalk UHR GS Deisenhofen'!B237</f>
        <v>UG</v>
      </c>
      <c r="C237" s="303" t="str">
        <f>'Kalk UHR GS Deisenhofen'!C237</f>
        <v>U.D.25</v>
      </c>
      <c r="D237" s="303" t="str">
        <f>'Kalk UHR GS Deisenhofen'!D237</f>
        <v>Lager</v>
      </c>
      <c r="E237" s="229"/>
      <c r="F237" s="195">
        <v>0</v>
      </c>
      <c r="G237" s="195">
        <v>12</v>
      </c>
      <c r="H237" s="186">
        <f t="shared" si="44"/>
        <v>0</v>
      </c>
      <c r="I237" s="549"/>
      <c r="J237" s="187"/>
      <c r="K237" s="188">
        <f t="shared" si="45"/>
        <v>0</v>
      </c>
      <c r="L237" s="548">
        <f t="shared" si="32"/>
        <v>0</v>
      </c>
      <c r="M237" s="189">
        <f t="shared" si="46"/>
        <v>0</v>
      </c>
      <c r="N237" s="189">
        <f t="shared" si="47"/>
        <v>0</v>
      </c>
      <c r="O237" s="189">
        <f t="shared" si="48"/>
        <v>0</v>
      </c>
    </row>
    <row r="238" spans="1:15" s="57" customFormat="1" ht="29.4" customHeight="1" x14ac:dyDescent="0.25">
      <c r="A238" s="303" t="str">
        <f>'Kalk UHR GS Deisenhofen'!A238</f>
        <v>Schule</v>
      </c>
      <c r="B238" s="303" t="str">
        <f>'Kalk UHR GS Deisenhofen'!B238</f>
        <v>UG</v>
      </c>
      <c r="C238" s="303" t="str">
        <f>'Kalk UHR GS Deisenhofen'!C238</f>
        <v>U.D.T.08</v>
      </c>
      <c r="D238" s="303" t="str">
        <f>'Kalk UHR GS Deisenhofen'!D238</f>
        <v>Treppe</v>
      </c>
      <c r="E238" s="229"/>
      <c r="F238" s="195">
        <v>0</v>
      </c>
      <c r="G238" s="195">
        <v>12</v>
      </c>
      <c r="H238" s="186">
        <f t="shared" si="44"/>
        <v>0</v>
      </c>
      <c r="I238" s="549"/>
      <c r="J238" s="187"/>
      <c r="K238" s="188">
        <f t="shared" si="45"/>
        <v>0</v>
      </c>
      <c r="L238" s="548">
        <f t="shared" si="32"/>
        <v>0</v>
      </c>
      <c r="M238" s="189">
        <f t="shared" si="46"/>
        <v>0</v>
      </c>
      <c r="N238" s="189">
        <f t="shared" si="47"/>
        <v>0</v>
      </c>
      <c r="O238" s="189">
        <f t="shared" si="48"/>
        <v>0</v>
      </c>
    </row>
    <row r="239" spans="1:15" s="57" customFormat="1" ht="29.4" customHeight="1" x14ac:dyDescent="0.25">
      <c r="A239" s="303" t="str">
        <f>'Kalk UHR GS Deisenhofen'!A239</f>
        <v>Hort</v>
      </c>
      <c r="B239" s="303" t="str">
        <f>'Kalk UHR GS Deisenhofen'!B239</f>
        <v>UG</v>
      </c>
      <c r="C239" s="303" t="str">
        <f>'Kalk UHR GS Deisenhofen'!C239</f>
        <v>U.D.26</v>
      </c>
      <c r="D239" s="303" t="str">
        <f>'Kalk UHR GS Deisenhofen'!D239</f>
        <v>Lager Hort</v>
      </c>
      <c r="E239" s="229"/>
      <c r="F239" s="195">
        <v>0</v>
      </c>
      <c r="G239" s="195">
        <v>12</v>
      </c>
      <c r="H239" s="186">
        <f t="shared" si="44"/>
        <v>0</v>
      </c>
      <c r="I239" s="549"/>
      <c r="J239" s="187"/>
      <c r="K239" s="188">
        <f t="shared" si="45"/>
        <v>0</v>
      </c>
      <c r="L239" s="548">
        <f t="shared" si="32"/>
        <v>0</v>
      </c>
      <c r="M239" s="189">
        <f t="shared" si="46"/>
        <v>0</v>
      </c>
      <c r="N239" s="189">
        <f t="shared" si="47"/>
        <v>0</v>
      </c>
      <c r="O239" s="189">
        <f t="shared" si="48"/>
        <v>0</v>
      </c>
    </row>
    <row r="240" spans="1:15" s="57" customFormat="1" ht="29.4" customHeight="1" x14ac:dyDescent="0.25">
      <c r="A240" s="303" t="str">
        <f>'Kalk UHR GS Deisenhofen'!A240</f>
        <v>Hort</v>
      </c>
      <c r="B240" s="303" t="str">
        <f>'Kalk UHR GS Deisenhofen'!B240</f>
        <v>UG</v>
      </c>
      <c r="C240" s="303" t="str">
        <f>'Kalk UHR GS Deisenhofen'!C240</f>
        <v>U.D.27</v>
      </c>
      <c r="D240" s="303" t="str">
        <f>'Kalk UHR GS Deisenhofen'!D240</f>
        <v>Lager</v>
      </c>
      <c r="E240" s="229"/>
      <c r="F240" s="195">
        <v>0</v>
      </c>
      <c r="G240" s="195">
        <v>12</v>
      </c>
      <c r="H240" s="186">
        <f t="shared" si="39"/>
        <v>0</v>
      </c>
      <c r="I240" s="549"/>
      <c r="J240" s="187"/>
      <c r="K240" s="188">
        <f t="shared" si="40"/>
        <v>0</v>
      </c>
      <c r="L240" s="548">
        <f t="shared" si="32"/>
        <v>0</v>
      </c>
      <c r="M240" s="189">
        <f t="shared" si="41"/>
        <v>0</v>
      </c>
      <c r="N240" s="189">
        <f t="shared" si="42"/>
        <v>0</v>
      </c>
      <c r="O240" s="189">
        <f t="shared" si="43"/>
        <v>0</v>
      </c>
    </row>
    <row r="241" spans="1:15" s="57" customFormat="1" ht="29.4" customHeight="1" x14ac:dyDescent="0.25">
      <c r="A241" s="303" t="str">
        <f>'Kalk UHR GS Deisenhofen'!A241</f>
        <v>Hort</v>
      </c>
      <c r="B241" s="303" t="str">
        <f>'Kalk UHR GS Deisenhofen'!B241</f>
        <v>UG</v>
      </c>
      <c r="C241" s="303" t="str">
        <f>'Kalk UHR GS Deisenhofen'!C241</f>
        <v>U.D.28</v>
      </c>
      <c r="D241" s="303" t="str">
        <f>'Kalk UHR GS Deisenhofen'!D241</f>
        <v>Dusche Hort</v>
      </c>
      <c r="E241" s="229"/>
      <c r="F241" s="195">
        <v>0</v>
      </c>
      <c r="G241" s="195">
        <v>12</v>
      </c>
      <c r="H241" s="186">
        <f t="shared" si="39"/>
        <v>0</v>
      </c>
      <c r="I241" s="549"/>
      <c r="J241" s="187"/>
      <c r="K241" s="188">
        <f t="shared" si="40"/>
        <v>0</v>
      </c>
      <c r="L241" s="548">
        <f t="shared" si="32"/>
        <v>0</v>
      </c>
      <c r="M241" s="189">
        <f t="shared" si="41"/>
        <v>0</v>
      </c>
      <c r="N241" s="189">
        <f t="shared" si="42"/>
        <v>0</v>
      </c>
      <c r="O241" s="189">
        <f t="shared" si="43"/>
        <v>0</v>
      </c>
    </row>
    <row r="242" spans="1:15" s="57" customFormat="1" ht="29.4" customHeight="1" x14ac:dyDescent="0.25">
      <c r="A242" s="303" t="str">
        <f>'Kalk UHR GS Deisenhofen'!A242</f>
        <v>Hort</v>
      </c>
      <c r="B242" s="303" t="str">
        <f>'Kalk UHR GS Deisenhofen'!B242</f>
        <v>UG</v>
      </c>
      <c r="C242" s="303" t="str">
        <f>'Kalk UHR GS Deisenhofen'!C242</f>
        <v>U.D.28a</v>
      </c>
      <c r="D242" s="303" t="str">
        <f>'Kalk UHR GS Deisenhofen'!D242</f>
        <v>Umkleide Hort</v>
      </c>
      <c r="E242" s="229"/>
      <c r="F242" s="195">
        <v>0</v>
      </c>
      <c r="G242" s="195">
        <v>12</v>
      </c>
      <c r="H242" s="186">
        <f t="shared" si="21"/>
        <v>0</v>
      </c>
      <c r="I242" s="549"/>
      <c r="J242" s="187"/>
      <c r="K242" s="188">
        <f t="shared" si="33"/>
        <v>0</v>
      </c>
      <c r="L242" s="548">
        <f t="shared" si="32"/>
        <v>0</v>
      </c>
      <c r="M242" s="189">
        <f t="shared" si="23"/>
        <v>0</v>
      </c>
      <c r="N242" s="189">
        <f t="shared" si="24"/>
        <v>0</v>
      </c>
      <c r="O242" s="189">
        <f t="shared" si="25"/>
        <v>0</v>
      </c>
    </row>
    <row r="243" spans="1:15" s="57" customFormat="1" ht="29.4" customHeight="1" x14ac:dyDescent="0.25">
      <c r="A243" s="303" t="str">
        <f>'Kalk UHR GS Deisenhofen'!A243</f>
        <v>Hort</v>
      </c>
      <c r="B243" s="303" t="str">
        <f>'Kalk UHR GS Deisenhofen'!B243</f>
        <v>UG</v>
      </c>
      <c r="C243" s="303" t="str">
        <f>'Kalk UHR GS Deisenhofen'!C243</f>
        <v>U.D.29</v>
      </c>
      <c r="D243" s="303" t="str">
        <f>'Kalk UHR GS Deisenhofen'!D243</f>
        <v>Putzlager, Personalumkleide</v>
      </c>
      <c r="E243" s="229"/>
      <c r="F243" s="195">
        <v>0</v>
      </c>
      <c r="G243" s="195">
        <v>12</v>
      </c>
      <c r="H243" s="186">
        <f t="shared" si="21"/>
        <v>0</v>
      </c>
      <c r="I243" s="549"/>
      <c r="J243" s="187"/>
      <c r="K243" s="188">
        <f t="shared" si="33"/>
        <v>0</v>
      </c>
      <c r="L243" s="548">
        <f t="shared" si="32"/>
        <v>0</v>
      </c>
      <c r="M243" s="189">
        <f t="shared" si="23"/>
        <v>0</v>
      </c>
      <c r="N243" s="189">
        <f t="shared" si="24"/>
        <v>0</v>
      </c>
      <c r="O243" s="189">
        <f t="shared" si="25"/>
        <v>0</v>
      </c>
    </row>
    <row r="244" spans="1:15" s="57" customFormat="1" ht="29.4" customHeight="1" x14ac:dyDescent="0.25">
      <c r="A244" s="303" t="str">
        <f>'Kalk UHR GS Deisenhofen'!A244</f>
        <v>Schule</v>
      </c>
      <c r="B244" s="303" t="str">
        <f>'Kalk UHR GS Deisenhofen'!B244</f>
        <v>UG</v>
      </c>
      <c r="C244" s="303" t="str">
        <f>'Kalk UHR GS Deisenhofen'!C244</f>
        <v>U.D.30</v>
      </c>
      <c r="D244" s="303" t="str">
        <f>'Kalk UHR GS Deisenhofen'!D244</f>
        <v>Hausmeisterwerkstatt</v>
      </c>
      <c r="E244" s="229"/>
      <c r="F244" s="195">
        <v>0</v>
      </c>
      <c r="G244" s="195">
        <v>12</v>
      </c>
      <c r="H244" s="186">
        <f t="shared" si="21"/>
        <v>0</v>
      </c>
      <c r="I244" s="549"/>
      <c r="J244" s="187"/>
      <c r="K244" s="188">
        <f t="shared" si="33"/>
        <v>0</v>
      </c>
      <c r="L244" s="548">
        <f t="shared" si="32"/>
        <v>0</v>
      </c>
      <c r="M244" s="189">
        <f t="shared" si="23"/>
        <v>0</v>
      </c>
      <c r="N244" s="189">
        <f t="shared" si="24"/>
        <v>0</v>
      </c>
      <c r="O244" s="189">
        <f t="shared" si="25"/>
        <v>0</v>
      </c>
    </row>
    <row r="245" spans="1:15" s="57" customFormat="1" ht="29.4" customHeight="1" x14ac:dyDescent="0.25">
      <c r="A245" s="303" t="str">
        <f>'Kalk UHR GS Deisenhofen'!A245</f>
        <v>Schule</v>
      </c>
      <c r="B245" s="303" t="str">
        <f>'Kalk UHR GS Deisenhofen'!B245</f>
        <v>UG</v>
      </c>
      <c r="C245" s="303" t="str">
        <f>'Kalk UHR GS Deisenhofen'!C245</f>
        <v>U.C.K.02</v>
      </c>
      <c r="D245" s="303" t="str">
        <f>'Kalk UHR GS Deisenhofen'!D245</f>
        <v>Kriechgang</v>
      </c>
      <c r="E245" s="229"/>
      <c r="F245" s="195">
        <v>0</v>
      </c>
      <c r="G245" s="195">
        <v>12</v>
      </c>
      <c r="H245" s="186">
        <f t="shared" si="21"/>
        <v>0</v>
      </c>
      <c r="I245" s="549"/>
      <c r="J245" s="187"/>
      <c r="K245" s="188">
        <f t="shared" si="33"/>
        <v>0</v>
      </c>
      <c r="L245" s="548">
        <f t="shared" ref="L245:L251" si="49">L$4</f>
        <v>0</v>
      </c>
      <c r="M245" s="189">
        <f t="shared" si="23"/>
        <v>0</v>
      </c>
      <c r="N245" s="189">
        <f t="shared" si="24"/>
        <v>0</v>
      </c>
      <c r="O245" s="189">
        <f t="shared" si="25"/>
        <v>0</v>
      </c>
    </row>
    <row r="246" spans="1:15" s="57" customFormat="1" ht="29.4" customHeight="1" x14ac:dyDescent="0.25">
      <c r="A246" s="303" t="str">
        <f>'Kalk UHR GS Deisenhofen'!A246</f>
        <v>Schule</v>
      </c>
      <c r="B246" s="303" t="str">
        <f>'Kalk UHR GS Deisenhofen'!B246</f>
        <v>UG</v>
      </c>
      <c r="C246" s="303" t="str">
        <f>'Kalk UHR GS Deisenhofen'!C246</f>
        <v>U.C.K.03</v>
      </c>
      <c r="D246" s="303" t="str">
        <f>'Kalk UHR GS Deisenhofen'!D246</f>
        <v>Technik Küche</v>
      </c>
      <c r="E246" s="229"/>
      <c r="F246" s="195">
        <v>0</v>
      </c>
      <c r="G246" s="195">
        <v>12</v>
      </c>
      <c r="H246" s="186">
        <f t="shared" si="21"/>
        <v>0</v>
      </c>
      <c r="I246" s="549"/>
      <c r="J246" s="187"/>
      <c r="K246" s="188">
        <f t="shared" si="33"/>
        <v>0</v>
      </c>
      <c r="L246" s="548">
        <f t="shared" si="49"/>
        <v>0</v>
      </c>
      <c r="M246" s="189">
        <f t="shared" si="23"/>
        <v>0</v>
      </c>
      <c r="N246" s="189">
        <f t="shared" si="24"/>
        <v>0</v>
      </c>
      <c r="O246" s="189">
        <f t="shared" si="25"/>
        <v>0</v>
      </c>
    </row>
    <row r="247" spans="1:15" s="57" customFormat="1" ht="29.4" customHeight="1" x14ac:dyDescent="0.25">
      <c r="A247" s="303" t="str">
        <f>'Kalk UHR GS Deisenhofen'!A247</f>
        <v>Schule</v>
      </c>
      <c r="B247" s="303" t="str">
        <f>'Kalk UHR GS Deisenhofen'!B247</f>
        <v>UG</v>
      </c>
      <c r="C247" s="303" t="str">
        <f>'Kalk UHR GS Deisenhofen'!C247</f>
        <v>U.C.K.04</v>
      </c>
      <c r="D247" s="303" t="str">
        <f>'Kalk UHR GS Deisenhofen'!D247</f>
        <v>Kriechgang</v>
      </c>
      <c r="E247" s="229"/>
      <c r="F247" s="195">
        <v>0</v>
      </c>
      <c r="G247" s="195">
        <v>12</v>
      </c>
      <c r="H247" s="186">
        <f t="shared" si="21"/>
        <v>0</v>
      </c>
      <c r="I247" s="549"/>
      <c r="J247" s="187"/>
      <c r="K247" s="188">
        <f t="shared" si="33"/>
        <v>0</v>
      </c>
      <c r="L247" s="548">
        <f t="shared" si="49"/>
        <v>0</v>
      </c>
      <c r="M247" s="189">
        <f t="shared" si="23"/>
        <v>0</v>
      </c>
      <c r="N247" s="189">
        <f t="shared" si="24"/>
        <v>0</v>
      </c>
      <c r="O247" s="189">
        <f t="shared" si="25"/>
        <v>0</v>
      </c>
    </row>
    <row r="248" spans="1:15" s="57" customFormat="1" ht="29.4" customHeight="1" x14ac:dyDescent="0.25">
      <c r="A248" s="303" t="str">
        <f>'Kalk UHR GS Deisenhofen'!A248</f>
        <v>Schule</v>
      </c>
      <c r="B248" s="303" t="str">
        <f>'Kalk UHR GS Deisenhofen'!B248</f>
        <v>UG</v>
      </c>
      <c r="C248" s="303" t="str">
        <f>'Kalk UHR GS Deisenhofen'!C248</f>
        <v>U.D.F.10</v>
      </c>
      <c r="D248" s="303" t="str">
        <f>'Kalk UHR GS Deisenhofen'!D248</f>
        <v>Flur</v>
      </c>
      <c r="E248" s="229"/>
      <c r="F248" s="195">
        <v>0</v>
      </c>
      <c r="G248" s="195">
        <v>12</v>
      </c>
      <c r="H248" s="186">
        <f t="shared" si="21"/>
        <v>0</v>
      </c>
      <c r="I248" s="549"/>
      <c r="J248" s="187"/>
      <c r="K248" s="188">
        <f t="shared" si="33"/>
        <v>0</v>
      </c>
      <c r="L248" s="548">
        <f t="shared" si="49"/>
        <v>0</v>
      </c>
      <c r="M248" s="189">
        <f t="shared" si="23"/>
        <v>0</v>
      </c>
      <c r="N248" s="189">
        <f t="shared" si="24"/>
        <v>0</v>
      </c>
      <c r="O248" s="189">
        <f t="shared" si="25"/>
        <v>0</v>
      </c>
    </row>
    <row r="249" spans="1:15" s="57" customFormat="1" ht="29.4" customHeight="1" x14ac:dyDescent="0.25">
      <c r="A249" s="303" t="str">
        <f>'Kalk UHR GS Deisenhofen'!A249</f>
        <v>Schule</v>
      </c>
      <c r="B249" s="303" t="str">
        <f>'Kalk UHR GS Deisenhofen'!B249</f>
        <v>UG</v>
      </c>
      <c r="C249" s="303" t="str">
        <f>'Kalk UHR GS Deisenhofen'!C249</f>
        <v>U.D.F.11</v>
      </c>
      <c r="D249" s="303" t="str">
        <f>'Kalk UHR GS Deisenhofen'!D249</f>
        <v>Flur</v>
      </c>
      <c r="E249" s="229"/>
      <c r="F249" s="195">
        <v>0</v>
      </c>
      <c r="G249" s="195">
        <v>12</v>
      </c>
      <c r="H249" s="186">
        <f t="shared" si="21"/>
        <v>0</v>
      </c>
      <c r="I249" s="549"/>
      <c r="J249" s="187"/>
      <c r="K249" s="188">
        <f t="shared" si="33"/>
        <v>0</v>
      </c>
      <c r="L249" s="548">
        <f t="shared" si="49"/>
        <v>0</v>
      </c>
      <c r="M249" s="189">
        <f t="shared" si="23"/>
        <v>0</v>
      </c>
      <c r="N249" s="189">
        <f t="shared" si="24"/>
        <v>0</v>
      </c>
      <c r="O249" s="189">
        <f t="shared" si="25"/>
        <v>0</v>
      </c>
    </row>
    <row r="250" spans="1:15" s="57" customFormat="1" ht="29.4" customHeight="1" x14ac:dyDescent="0.25">
      <c r="A250" s="303" t="str">
        <f>'Kalk UHR GS Deisenhofen'!A250</f>
        <v>Schule</v>
      </c>
      <c r="B250" s="303" t="str">
        <f>'Kalk UHR GS Deisenhofen'!B250</f>
        <v>UG</v>
      </c>
      <c r="C250" s="303" t="str">
        <f>'Kalk UHR GS Deisenhofen'!C250</f>
        <v>U.D.F.12</v>
      </c>
      <c r="D250" s="303" t="str">
        <f>'Kalk UHR GS Deisenhofen'!D250</f>
        <v>Flur</v>
      </c>
      <c r="E250" s="229"/>
      <c r="F250" s="195">
        <v>0</v>
      </c>
      <c r="G250" s="195">
        <v>12</v>
      </c>
      <c r="H250" s="186">
        <f t="shared" ref="H250:H251" si="50">+E250*F250+E250*G250</f>
        <v>0</v>
      </c>
      <c r="I250" s="549"/>
      <c r="J250" s="187"/>
      <c r="K250" s="188">
        <f t="shared" ref="K250:K251" si="51">IFERROR((F250*E250/I250),0)+IFERROR((G250*E250/J250),0)</f>
        <v>0</v>
      </c>
      <c r="L250" s="548">
        <f t="shared" si="49"/>
        <v>0</v>
      </c>
      <c r="M250" s="189">
        <f t="shared" ref="M250:M251" si="52">IF(ISERROR(L250/I250),0,L250/I250)</f>
        <v>0</v>
      </c>
      <c r="N250" s="189">
        <f t="shared" ref="N250:N251" si="53">IF(ISERROR(L250/J250),0,L250/J250)</f>
        <v>0</v>
      </c>
      <c r="O250" s="189">
        <f t="shared" ref="O250:O251" si="54">K250*L250</f>
        <v>0</v>
      </c>
    </row>
    <row r="251" spans="1:15" s="57" customFormat="1" ht="29.4" customHeight="1" x14ac:dyDescent="0.25">
      <c r="A251" s="303" t="str">
        <f>'Kalk UHR GS Deisenhofen'!A251</f>
        <v>Schule</v>
      </c>
      <c r="B251" s="303" t="str">
        <f>'Kalk UHR GS Deisenhofen'!B251</f>
        <v>UG</v>
      </c>
      <c r="C251" s="303" t="str">
        <f>'Kalk UHR GS Deisenhofen'!C251</f>
        <v>U.D.Z.02</v>
      </c>
      <c r="D251" s="303" t="str">
        <f>'Kalk UHR GS Deisenhofen'!D251</f>
        <v>Aufzug (Turnus siehe EG)</v>
      </c>
      <c r="E251" s="229"/>
      <c r="F251" s="195">
        <v>0</v>
      </c>
      <c r="G251" s="195">
        <v>12</v>
      </c>
      <c r="H251" s="186">
        <f t="shared" si="50"/>
        <v>0</v>
      </c>
      <c r="I251" s="549"/>
      <c r="J251" s="187"/>
      <c r="K251" s="188">
        <f t="shared" si="51"/>
        <v>0</v>
      </c>
      <c r="L251" s="548">
        <f t="shared" si="49"/>
        <v>0</v>
      </c>
      <c r="M251" s="189">
        <f t="shared" si="52"/>
        <v>0</v>
      </c>
      <c r="N251" s="189">
        <f t="shared" si="53"/>
        <v>0</v>
      </c>
      <c r="O251" s="189">
        <f t="shared" si="54"/>
        <v>0</v>
      </c>
    </row>
    <row r="252" spans="1:15" ht="22.5" customHeight="1" x14ac:dyDescent="0.2">
      <c r="A252" s="190"/>
      <c r="B252" s="190"/>
      <c r="C252" s="191"/>
      <c r="D252" s="191"/>
      <c r="E252" s="55">
        <f>SUM(E8:E251)</f>
        <v>279.72554000000008</v>
      </c>
      <c r="F252" s="55"/>
      <c r="G252" s="55"/>
      <c r="H252" s="55">
        <f>SUM(H8:H251)</f>
        <v>3356.7064800000007</v>
      </c>
      <c r="I252" s="55"/>
      <c r="J252" s="55"/>
      <c r="K252" s="192">
        <f>SUM(K8:K251)</f>
        <v>0</v>
      </c>
      <c r="L252" s="193"/>
      <c r="M252" s="193"/>
      <c r="N252" s="193"/>
      <c r="O252" s="194">
        <f>SUM(O8:O251)</f>
        <v>0</v>
      </c>
    </row>
    <row r="253" spans="1:15" x14ac:dyDescent="0.2">
      <c r="F253" s="58"/>
      <c r="G253" s="58"/>
      <c r="I253" s="58"/>
      <c r="J253" s="58"/>
      <c r="K253" s="58"/>
    </row>
  </sheetData>
  <sheetProtection selectLockedCells="1"/>
  <autoFilter ref="A7:O252" xr:uid="{6C189707-D51D-430B-860F-9594BAD7D950}"/>
  <mergeCells count="6">
    <mergeCell ref="A1:O1"/>
    <mergeCell ref="N2:O2"/>
    <mergeCell ref="F6:G6"/>
    <mergeCell ref="I6:J6"/>
    <mergeCell ref="M6:N6"/>
    <mergeCell ref="F2:K2"/>
  </mergeCells>
  <printOptions horizontalCentered="1"/>
  <pageMargins left="0.19685039370078741" right="0.19685039370078741" top="0.9055118110236221" bottom="0.78740157480314965" header="0.51181102362204722" footer="0.51181102362204722"/>
  <pageSetup paperSize="9" scale="80" fitToHeight="0" orientation="landscape" r:id="rId1"/>
  <headerFooter alignWithMargins="0">
    <oddHeader>&amp;C&amp;"Verdana,Standard"Ausschreibung Reinigung Gemeinde Oberhaching 2026</oddHeader>
    <oddFooter>&amp;CSeite &amp;P von &amp;N Seiten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6F09E-7212-437D-B757-4A25745D620E}">
  <sheetPr codeName="Tabelle24">
    <tabColor rgb="FF00B050"/>
    <pageSetUpPr fitToPage="1"/>
  </sheetPr>
  <dimension ref="A1:AZ196"/>
  <sheetViews>
    <sheetView zoomScale="80" zoomScaleNormal="80" zoomScaleSheetLayoutView="70" zoomScalePageLayoutView="60" workbookViewId="0">
      <selection activeCell="I4" sqref="I4"/>
    </sheetView>
  </sheetViews>
  <sheetFormatPr baseColWidth="10" defaultColWidth="11.44140625" defaultRowHeight="12.6" x14ac:dyDescent="0.2"/>
  <cols>
    <col min="1" max="1" width="11.44140625" style="52"/>
    <col min="2" max="2" width="9.21875" style="59" customWidth="1"/>
    <col min="3" max="3" width="9.33203125" style="59" customWidth="1"/>
    <col min="4" max="4" width="32" style="59" customWidth="1"/>
    <col min="5" max="5" width="16.5546875" style="52" customWidth="1"/>
    <col min="6" max="6" width="14.88671875" style="52" customWidth="1"/>
    <col min="7" max="7" width="14" style="59" customWidth="1"/>
    <col min="8" max="8" width="10.5546875" style="58" customWidth="1"/>
    <col min="9" max="9" width="10.5546875" style="101" customWidth="1"/>
    <col min="10" max="10" width="17.21875" style="101" customWidth="1"/>
    <col min="11" max="11" width="14.5546875" style="58" customWidth="1"/>
    <col min="12" max="12" width="11" style="58" customWidth="1"/>
    <col min="13" max="13" width="15.6640625" style="105" customWidth="1"/>
    <col min="14" max="14" width="14.33203125" style="106" customWidth="1"/>
    <col min="15" max="15" width="16.109375" style="107" customWidth="1"/>
    <col min="16" max="16" width="19.109375" style="107" customWidth="1"/>
    <col min="17" max="17" width="3.5546875" style="52" customWidth="1"/>
    <col min="18" max="18" width="14.33203125" style="52" hidden="1" customWidth="1"/>
    <col min="19" max="49" width="3.77734375" style="52" hidden="1" customWidth="1"/>
    <col min="50" max="52" width="11.44140625" style="52" hidden="1" customWidth="1"/>
    <col min="53" max="16384" width="11.44140625" style="52"/>
  </cols>
  <sheetData>
    <row r="1" spans="1:52" ht="30" customHeight="1" x14ac:dyDescent="0.2">
      <c r="A1" s="651" t="s">
        <v>636</v>
      </c>
      <c r="B1" s="651"/>
      <c r="C1" s="651"/>
      <c r="D1" s="651"/>
      <c r="E1" s="651"/>
      <c r="F1" s="651"/>
      <c r="G1" s="651"/>
      <c r="H1" s="651"/>
      <c r="I1" s="651"/>
      <c r="J1" s="651"/>
      <c r="K1" s="651"/>
      <c r="L1" s="651"/>
      <c r="M1" s="651"/>
      <c r="N1" s="651"/>
      <c r="O1" s="651"/>
      <c r="P1" s="651"/>
      <c r="Q1" s="51"/>
    </row>
    <row r="2" spans="1:52" s="53" customFormat="1" ht="28.5" customHeight="1" x14ac:dyDescent="0.3">
      <c r="A2" s="82" t="s">
        <v>2</v>
      </c>
      <c r="B2" s="83" t="str">
        <f>Basisdaten!B5</f>
        <v>Gemeinde Oberhaching</v>
      </c>
      <c r="C2" s="83"/>
      <c r="H2" s="86" t="s">
        <v>3</v>
      </c>
      <c r="I2" s="87">
        <f>Basisdaten!E5</f>
        <v>0</v>
      </c>
      <c r="J2" s="83"/>
      <c r="K2" s="83"/>
      <c r="L2" s="170"/>
      <c r="M2" s="90"/>
      <c r="N2" s="91"/>
      <c r="O2" s="86" t="s">
        <v>1</v>
      </c>
      <c r="P2" s="327">
        <f>Basisdaten!E3</f>
        <v>0</v>
      </c>
    </row>
    <row r="3" spans="1:52" s="53" customFormat="1" ht="27" customHeight="1" x14ac:dyDescent="0.3">
      <c r="A3" s="85" t="s">
        <v>4</v>
      </c>
      <c r="B3" s="83" t="s">
        <v>74</v>
      </c>
      <c r="C3" s="83"/>
      <c r="F3" s="84"/>
      <c r="M3" s="410" t="s">
        <v>358</v>
      </c>
      <c r="N3" s="411">
        <f>'SVS UHR'!F77</f>
        <v>0</v>
      </c>
      <c r="O3" s="92"/>
      <c r="P3" s="93"/>
    </row>
    <row r="4" spans="1:52" s="53" customFormat="1" ht="16.2" customHeight="1" x14ac:dyDescent="0.3">
      <c r="M4" s="90"/>
      <c r="N4" s="91"/>
      <c r="O4" s="91"/>
      <c r="P4" s="93"/>
    </row>
    <row r="5" spans="1:52" s="146" customFormat="1" ht="29.25" customHeight="1" x14ac:dyDescent="0.3">
      <c r="A5" s="236"/>
      <c r="B5" s="236"/>
      <c r="C5" s="236"/>
      <c r="D5" s="236"/>
      <c r="E5" s="236"/>
      <c r="F5" s="233" t="s">
        <v>945</v>
      </c>
      <c r="G5" s="147">
        <f>SUBTOTAL(9,G8:G76)</f>
        <v>1162.0099999999993</v>
      </c>
      <c r="H5" s="148"/>
      <c r="I5" s="148"/>
      <c r="J5" s="147">
        <f>SUBTOTAL(9,J8:J76)</f>
        <v>229010.5</v>
      </c>
      <c r="K5" s="149">
        <f>IF(ISERROR(J5/M5),0,(J5/M5))</f>
        <v>0</v>
      </c>
      <c r="L5" s="499">
        <f>SUBTOTAL(9,L8:L77)</f>
        <v>0</v>
      </c>
      <c r="M5" s="231">
        <f>SUBTOTAL(9,M8:M76)</f>
        <v>0</v>
      </c>
      <c r="N5" s="236"/>
      <c r="O5" s="236"/>
      <c r="P5" s="150">
        <f>SUBTOTAL(9,P8:P76)</f>
        <v>0</v>
      </c>
      <c r="S5" s="652" t="s">
        <v>848</v>
      </c>
      <c r="T5" s="652"/>
      <c r="U5" s="652"/>
      <c r="V5" s="652"/>
      <c r="W5" s="652"/>
      <c r="X5" s="652"/>
      <c r="Y5" s="652"/>
      <c r="Z5" s="652"/>
      <c r="AA5" s="652"/>
      <c r="AB5" s="652"/>
      <c r="AC5" s="652"/>
      <c r="AD5" s="652"/>
      <c r="AE5" s="652"/>
      <c r="AF5" s="652"/>
      <c r="AG5" s="652"/>
      <c r="AH5" s="652"/>
      <c r="AI5" s="652"/>
      <c r="AJ5" s="652"/>
      <c r="AK5" s="652"/>
      <c r="AL5" s="652"/>
      <c r="AM5" s="652"/>
      <c r="AN5" s="652"/>
      <c r="AO5" s="652"/>
      <c r="AP5" s="652"/>
      <c r="AQ5" s="652"/>
      <c r="AR5" s="652"/>
      <c r="AS5" s="652"/>
      <c r="AT5" s="652"/>
      <c r="AU5" s="652"/>
      <c r="AV5" s="652"/>
      <c r="AW5" s="652"/>
      <c r="AX5" s="652"/>
      <c r="AY5" s="652"/>
      <c r="AZ5" s="652"/>
    </row>
    <row r="6" spans="1:52" s="146" customFormat="1" ht="61.2" customHeight="1" x14ac:dyDescent="0.3">
      <c r="A6" s="301"/>
      <c r="B6" s="301"/>
      <c r="C6" s="301"/>
      <c r="D6" s="301"/>
      <c r="E6" s="301"/>
      <c r="F6" s="235" t="s">
        <v>243</v>
      </c>
      <c r="G6" s="151">
        <f>SUM(G$8:G$76)</f>
        <v>1162.0099999999993</v>
      </c>
      <c r="H6" s="154"/>
      <c r="I6" s="154"/>
      <c r="J6" s="151">
        <f>SUM(J$8:J$76)</f>
        <v>229010.5</v>
      </c>
      <c r="K6" s="152">
        <f>IF(ISERROR(J6/M6),0,(J6/M6))</f>
        <v>0</v>
      </c>
      <c r="L6" s="498">
        <f>SUM(L$8:L$76)</f>
        <v>0</v>
      </c>
      <c r="M6" s="232">
        <f>SUM(M$8:M$76)</f>
        <v>0</v>
      </c>
      <c r="N6" s="301"/>
      <c r="O6" s="301"/>
      <c r="P6" s="153">
        <f>SUM(P$8:P$76)</f>
        <v>0</v>
      </c>
      <c r="R6" s="473" t="s">
        <v>857</v>
      </c>
      <c r="S6" s="474">
        <v>46266</v>
      </c>
      <c r="T6" s="475">
        <f>S6+1</f>
        <v>46267</v>
      </c>
      <c r="U6" s="475">
        <f t="shared" ref="U6:AW6" si="0">T6+1</f>
        <v>46268</v>
      </c>
      <c r="V6" s="475">
        <f t="shared" si="0"/>
        <v>46269</v>
      </c>
      <c r="W6" s="475">
        <f t="shared" si="0"/>
        <v>46270</v>
      </c>
      <c r="X6" s="475">
        <f t="shared" si="0"/>
        <v>46271</v>
      </c>
      <c r="Y6" s="475">
        <f t="shared" si="0"/>
        <v>46272</v>
      </c>
      <c r="Z6" s="475">
        <f t="shared" si="0"/>
        <v>46273</v>
      </c>
      <c r="AA6" s="475">
        <f t="shared" si="0"/>
        <v>46274</v>
      </c>
      <c r="AB6" s="475">
        <f t="shared" si="0"/>
        <v>46275</v>
      </c>
      <c r="AC6" s="475">
        <f t="shared" si="0"/>
        <v>46276</v>
      </c>
      <c r="AD6" s="475">
        <f t="shared" si="0"/>
        <v>46277</v>
      </c>
      <c r="AE6" s="475">
        <f t="shared" si="0"/>
        <v>46278</v>
      </c>
      <c r="AF6" s="475">
        <f t="shared" si="0"/>
        <v>46279</v>
      </c>
      <c r="AG6" s="475">
        <f t="shared" si="0"/>
        <v>46280</v>
      </c>
      <c r="AH6" s="475">
        <f t="shared" si="0"/>
        <v>46281</v>
      </c>
      <c r="AI6" s="475">
        <f t="shared" si="0"/>
        <v>46282</v>
      </c>
      <c r="AJ6" s="475">
        <f t="shared" si="0"/>
        <v>46283</v>
      </c>
      <c r="AK6" s="475">
        <f t="shared" si="0"/>
        <v>46284</v>
      </c>
      <c r="AL6" s="475">
        <f t="shared" si="0"/>
        <v>46285</v>
      </c>
      <c r="AM6" s="475">
        <f t="shared" si="0"/>
        <v>46286</v>
      </c>
      <c r="AN6" s="475">
        <f t="shared" si="0"/>
        <v>46287</v>
      </c>
      <c r="AO6" s="475">
        <f t="shared" si="0"/>
        <v>46288</v>
      </c>
      <c r="AP6" s="475">
        <f t="shared" si="0"/>
        <v>46289</v>
      </c>
      <c r="AQ6" s="475">
        <f t="shared" si="0"/>
        <v>46290</v>
      </c>
      <c r="AR6" s="475">
        <f t="shared" si="0"/>
        <v>46291</v>
      </c>
      <c r="AS6" s="475">
        <f t="shared" si="0"/>
        <v>46292</v>
      </c>
      <c r="AT6" s="475">
        <f t="shared" si="0"/>
        <v>46293</v>
      </c>
      <c r="AU6" s="475">
        <f t="shared" si="0"/>
        <v>46294</v>
      </c>
      <c r="AV6" s="475">
        <f t="shared" si="0"/>
        <v>46295</v>
      </c>
      <c r="AW6" s="475">
        <f t="shared" si="0"/>
        <v>46296</v>
      </c>
      <c r="AX6" s="479"/>
      <c r="AY6" s="479"/>
      <c r="AZ6" s="480"/>
    </row>
    <row r="7" spans="1:52" s="56" customFormat="1" ht="52.8" customHeight="1" x14ac:dyDescent="0.25">
      <c r="A7" s="54" t="s">
        <v>272</v>
      </c>
      <c r="B7" s="54" t="s">
        <v>250</v>
      </c>
      <c r="C7" s="54" t="s">
        <v>101</v>
      </c>
      <c r="D7" s="54" t="s">
        <v>103</v>
      </c>
      <c r="E7" s="54" t="s">
        <v>163</v>
      </c>
      <c r="F7" s="54" t="s">
        <v>57</v>
      </c>
      <c r="G7" s="55" t="s">
        <v>100</v>
      </c>
      <c r="H7" s="55" t="s">
        <v>59</v>
      </c>
      <c r="I7" s="55" t="s">
        <v>75</v>
      </c>
      <c r="J7" s="55" t="s">
        <v>76</v>
      </c>
      <c r="K7" s="94" t="s">
        <v>77</v>
      </c>
      <c r="L7" s="95" t="s">
        <v>856</v>
      </c>
      <c r="M7" s="95" t="s">
        <v>78</v>
      </c>
      <c r="N7" s="96" t="s">
        <v>79</v>
      </c>
      <c r="O7" s="96" t="s">
        <v>80</v>
      </c>
      <c r="P7" s="96" t="s">
        <v>81</v>
      </c>
      <c r="R7" s="472"/>
      <c r="S7" s="476" t="str">
        <f>TEXT(S6,"TTTT")</f>
        <v>Dienstag</v>
      </c>
      <c r="T7" s="477" t="str">
        <f t="shared" ref="T7:AW7" si="1">TEXT(T6,"TTTT")</f>
        <v>Mittwoch</v>
      </c>
      <c r="U7" s="477" t="str">
        <f t="shared" si="1"/>
        <v>Donnerstag</v>
      </c>
      <c r="V7" s="477" t="str">
        <f t="shared" si="1"/>
        <v>Freitag</v>
      </c>
      <c r="W7" s="477" t="str">
        <f t="shared" si="1"/>
        <v>Samstag</v>
      </c>
      <c r="X7" s="477" t="str">
        <f t="shared" si="1"/>
        <v>Sonntag</v>
      </c>
      <c r="Y7" s="477" t="str">
        <f t="shared" si="1"/>
        <v>Montag</v>
      </c>
      <c r="Z7" s="477" t="str">
        <f t="shared" si="1"/>
        <v>Dienstag</v>
      </c>
      <c r="AA7" s="477" t="str">
        <f t="shared" si="1"/>
        <v>Mittwoch</v>
      </c>
      <c r="AB7" s="477" t="str">
        <f t="shared" si="1"/>
        <v>Donnerstag</v>
      </c>
      <c r="AC7" s="477" t="str">
        <f t="shared" si="1"/>
        <v>Freitag</v>
      </c>
      <c r="AD7" s="477" t="str">
        <f t="shared" si="1"/>
        <v>Samstag</v>
      </c>
      <c r="AE7" s="477" t="str">
        <f t="shared" si="1"/>
        <v>Sonntag</v>
      </c>
      <c r="AF7" s="477" t="str">
        <f t="shared" si="1"/>
        <v>Montag</v>
      </c>
      <c r="AG7" s="477" t="str">
        <f t="shared" si="1"/>
        <v>Dienstag</v>
      </c>
      <c r="AH7" s="477" t="str">
        <f t="shared" si="1"/>
        <v>Mittwoch</v>
      </c>
      <c r="AI7" s="477" t="str">
        <f t="shared" si="1"/>
        <v>Donnerstag</v>
      </c>
      <c r="AJ7" s="477" t="str">
        <f t="shared" si="1"/>
        <v>Freitag</v>
      </c>
      <c r="AK7" s="477" t="str">
        <f t="shared" si="1"/>
        <v>Samstag</v>
      </c>
      <c r="AL7" s="477" t="str">
        <f t="shared" si="1"/>
        <v>Sonntag</v>
      </c>
      <c r="AM7" s="477" t="str">
        <f t="shared" si="1"/>
        <v>Montag</v>
      </c>
      <c r="AN7" s="477" t="str">
        <f t="shared" si="1"/>
        <v>Dienstag</v>
      </c>
      <c r="AO7" s="477" t="str">
        <f t="shared" si="1"/>
        <v>Mittwoch</v>
      </c>
      <c r="AP7" s="477" t="str">
        <f t="shared" si="1"/>
        <v>Donnerstag</v>
      </c>
      <c r="AQ7" s="477" t="str">
        <f t="shared" si="1"/>
        <v>Freitag</v>
      </c>
      <c r="AR7" s="477" t="str">
        <f t="shared" si="1"/>
        <v>Samstag</v>
      </c>
      <c r="AS7" s="477" t="str">
        <f t="shared" si="1"/>
        <v>Sonntag</v>
      </c>
      <c r="AT7" s="477" t="str">
        <f t="shared" si="1"/>
        <v>Montag</v>
      </c>
      <c r="AU7" s="477" t="str">
        <f t="shared" si="1"/>
        <v>Dienstag</v>
      </c>
      <c r="AV7" s="477" t="str">
        <f t="shared" si="1"/>
        <v>Mittwoch</v>
      </c>
      <c r="AW7" s="478" t="str">
        <f t="shared" si="1"/>
        <v>Donnerstag</v>
      </c>
      <c r="AX7" s="479" t="s">
        <v>846</v>
      </c>
      <c r="AY7" s="479" t="s">
        <v>978</v>
      </c>
      <c r="AZ7" s="480" t="s">
        <v>847</v>
      </c>
    </row>
    <row r="8" spans="1:52" s="57" customFormat="1" ht="24.9" customHeight="1" x14ac:dyDescent="0.25">
      <c r="A8" s="588" t="s">
        <v>991</v>
      </c>
      <c r="B8" s="97" t="s">
        <v>279</v>
      </c>
      <c r="C8" s="97"/>
      <c r="D8" s="145" t="s">
        <v>620</v>
      </c>
      <c r="E8" s="230" t="s">
        <v>916</v>
      </c>
      <c r="F8" s="228" t="s">
        <v>674</v>
      </c>
      <c r="G8" s="127">
        <v>16</v>
      </c>
      <c r="H8" s="97" t="str">
        <f>VLOOKUP($F8,'Leistungswerte UHR Kigas'!$C$6:$F$27,3,FALSE)</f>
        <v>W5</v>
      </c>
      <c r="I8" s="98">
        <f>VLOOKUP(H8,Turnus!$H$9:$I$26,2,FALSE)</f>
        <v>230</v>
      </c>
      <c r="J8" s="127">
        <f t="shared" ref="J8:J76" si="2">+G8*I8</f>
        <v>3680</v>
      </c>
      <c r="K8" s="128">
        <f>VLOOKUP($F8,'Leistungswerte UHR Kigas'!$C$6:$F$27,4,FALSE)</f>
        <v>0</v>
      </c>
      <c r="L8" s="496" t="str">
        <f>IFERROR(G8/K8,"")</f>
        <v/>
      </c>
      <c r="M8" s="129">
        <f t="shared" ref="M8:M76" si="3">IF(ISERROR(J8/K8),0,J8/K8)</f>
        <v>0</v>
      </c>
      <c r="N8" s="547">
        <f>N$3</f>
        <v>0</v>
      </c>
      <c r="O8" s="130">
        <f t="shared" ref="O8:O76" si="4">IF(ISERROR(G8/K8*N8),0,G8/K8*N8)</f>
        <v>0</v>
      </c>
      <c r="P8" s="131">
        <f t="shared" ref="P8:P39" si="5">+M8*N8</f>
        <v>0</v>
      </c>
      <c r="R8" s="481"/>
      <c r="S8" s="482"/>
      <c r="T8" s="482"/>
      <c r="U8" s="482"/>
      <c r="V8" s="482"/>
      <c r="W8" s="482"/>
      <c r="X8" s="482"/>
      <c r="Y8" s="482"/>
      <c r="Z8" s="482"/>
      <c r="AA8" s="482"/>
      <c r="AB8" s="482"/>
      <c r="AC8" s="482"/>
      <c r="AD8" s="482"/>
      <c r="AE8" s="482"/>
      <c r="AF8" s="482"/>
      <c r="AG8" s="482"/>
      <c r="AH8" s="482"/>
      <c r="AI8" s="482"/>
      <c r="AJ8" s="482"/>
      <c r="AK8" s="482"/>
      <c r="AL8" s="482"/>
      <c r="AM8" s="482"/>
      <c r="AN8" s="482"/>
      <c r="AO8" s="482"/>
      <c r="AP8" s="482"/>
      <c r="AQ8" s="482"/>
      <c r="AR8" s="482"/>
      <c r="AS8" s="482"/>
      <c r="AT8" s="482"/>
      <c r="AU8" s="482"/>
      <c r="AV8" s="482"/>
      <c r="AW8" s="483"/>
      <c r="AX8" s="484">
        <f>SUM(S8:AW8)</f>
        <v>0</v>
      </c>
      <c r="AY8" s="501" t="str">
        <f t="shared" ref="AY8:AY39" si="6">IFERROR(L8*AX8,"")</f>
        <v/>
      </c>
      <c r="AZ8" s="488">
        <f t="shared" ref="AZ8:AZ39" si="7">AX8*O8</f>
        <v>0</v>
      </c>
    </row>
    <row r="9" spans="1:52" s="57" customFormat="1" ht="24.9" customHeight="1" x14ac:dyDescent="0.25">
      <c r="A9" s="588" t="s">
        <v>991</v>
      </c>
      <c r="B9" s="97" t="s">
        <v>279</v>
      </c>
      <c r="C9" s="303"/>
      <c r="D9" s="304" t="s">
        <v>703</v>
      </c>
      <c r="E9" s="305" t="s">
        <v>916</v>
      </c>
      <c r="F9" s="228" t="s">
        <v>676</v>
      </c>
      <c r="G9" s="307">
        <v>9.5299999999999994</v>
      </c>
      <c r="H9" s="97" t="str">
        <f>VLOOKUP($F9,'Leistungswerte UHR Kigas'!$C$6:$F$27,3,FALSE)</f>
        <v>W5</v>
      </c>
      <c r="I9" s="98">
        <f>VLOOKUP(H9,Turnus!$H$9:$I$26,2,FALSE)</f>
        <v>230</v>
      </c>
      <c r="J9" s="127">
        <f t="shared" si="2"/>
        <v>2191.8999999999996</v>
      </c>
      <c r="K9" s="128">
        <f>VLOOKUP($F9,'Leistungswerte UHR Kigas'!$C$6:$F$27,4,FALSE)</f>
        <v>0</v>
      </c>
      <c r="L9" s="496" t="str">
        <f t="shared" ref="L9:L73" si="8">IFERROR(G9/K9,"")</f>
        <v/>
      </c>
      <c r="M9" s="129">
        <f t="shared" si="3"/>
        <v>0</v>
      </c>
      <c r="N9" s="547">
        <f t="shared" ref="N9:N76" si="9">N$3</f>
        <v>0</v>
      </c>
      <c r="O9" s="130">
        <f t="shared" si="4"/>
        <v>0</v>
      </c>
      <c r="P9" s="131">
        <f t="shared" si="5"/>
        <v>0</v>
      </c>
      <c r="R9" s="481"/>
      <c r="S9" s="482"/>
      <c r="T9" s="482"/>
      <c r="U9" s="482"/>
      <c r="V9" s="482"/>
      <c r="W9" s="482"/>
      <c r="X9" s="482"/>
      <c r="Y9" s="482"/>
      <c r="Z9" s="482"/>
      <c r="AA9" s="482"/>
      <c r="AB9" s="482"/>
      <c r="AC9" s="482"/>
      <c r="AD9" s="482"/>
      <c r="AE9" s="482"/>
      <c r="AF9" s="482"/>
      <c r="AG9" s="482"/>
      <c r="AH9" s="482"/>
      <c r="AI9" s="482"/>
      <c r="AJ9" s="482"/>
      <c r="AK9" s="482"/>
      <c r="AL9" s="482"/>
      <c r="AM9" s="482"/>
      <c r="AN9" s="482"/>
      <c r="AO9" s="482"/>
      <c r="AP9" s="482"/>
      <c r="AQ9" s="482"/>
      <c r="AR9" s="482"/>
      <c r="AS9" s="482"/>
      <c r="AT9" s="482"/>
      <c r="AU9" s="482"/>
      <c r="AV9" s="482"/>
      <c r="AW9" s="483"/>
      <c r="AX9" s="484">
        <f t="shared" ref="AX9:AX73" si="10">SUM(S9:AW9)</f>
        <v>0</v>
      </c>
      <c r="AY9" s="501" t="str">
        <f t="shared" si="6"/>
        <v/>
      </c>
      <c r="AZ9" s="488">
        <f t="shared" si="7"/>
        <v>0</v>
      </c>
    </row>
    <row r="10" spans="1:52" s="57" customFormat="1" ht="24.9" customHeight="1" x14ac:dyDescent="0.25">
      <c r="A10" s="588" t="s">
        <v>991</v>
      </c>
      <c r="B10" s="97" t="s">
        <v>279</v>
      </c>
      <c r="C10" s="303"/>
      <c r="D10" s="228" t="s">
        <v>704</v>
      </c>
      <c r="E10" s="305" t="s">
        <v>916</v>
      </c>
      <c r="F10" s="228" t="s">
        <v>709</v>
      </c>
      <c r="G10" s="307">
        <v>22.52</v>
      </c>
      <c r="H10" s="97" t="str">
        <f>VLOOKUP($F10,'Leistungswerte UHR Kigas'!$C$6:$F$27,3,FALSE)</f>
        <v>J1</v>
      </c>
      <c r="I10" s="98">
        <f>VLOOKUP(H10,Turnus!$H$9:$I$26,2,FALSE)</f>
        <v>1</v>
      </c>
      <c r="J10" s="127">
        <f t="shared" si="2"/>
        <v>22.52</v>
      </c>
      <c r="K10" s="128">
        <f>VLOOKUP($F10,'Leistungswerte UHR Kigas'!$C$6:$F$27,4,FALSE)</f>
        <v>0</v>
      </c>
      <c r="L10" s="496" t="str">
        <f t="shared" si="8"/>
        <v/>
      </c>
      <c r="M10" s="129">
        <f t="shared" si="3"/>
        <v>0</v>
      </c>
      <c r="N10" s="547">
        <f t="shared" si="9"/>
        <v>0</v>
      </c>
      <c r="O10" s="130">
        <f t="shared" si="4"/>
        <v>0</v>
      </c>
      <c r="P10" s="131">
        <f t="shared" si="5"/>
        <v>0</v>
      </c>
      <c r="R10" s="481"/>
      <c r="S10" s="482"/>
      <c r="T10" s="482"/>
      <c r="U10" s="482"/>
      <c r="V10" s="482"/>
      <c r="W10" s="482"/>
      <c r="X10" s="482"/>
      <c r="Y10" s="482"/>
      <c r="Z10" s="482"/>
      <c r="AA10" s="482"/>
      <c r="AB10" s="482"/>
      <c r="AC10" s="482"/>
      <c r="AD10" s="482"/>
      <c r="AE10" s="482"/>
      <c r="AF10" s="482"/>
      <c r="AG10" s="482"/>
      <c r="AH10" s="482"/>
      <c r="AI10" s="482"/>
      <c r="AJ10" s="482"/>
      <c r="AK10" s="482"/>
      <c r="AL10" s="482"/>
      <c r="AM10" s="482"/>
      <c r="AN10" s="482"/>
      <c r="AO10" s="482"/>
      <c r="AP10" s="482"/>
      <c r="AQ10" s="482"/>
      <c r="AR10" s="482"/>
      <c r="AS10" s="482"/>
      <c r="AT10" s="482"/>
      <c r="AU10" s="482"/>
      <c r="AV10" s="482"/>
      <c r="AW10" s="483"/>
      <c r="AX10" s="484">
        <f t="shared" si="10"/>
        <v>0</v>
      </c>
      <c r="AY10" s="501" t="str">
        <f t="shared" si="6"/>
        <v/>
      </c>
      <c r="AZ10" s="488">
        <f t="shared" si="7"/>
        <v>0</v>
      </c>
    </row>
    <row r="11" spans="1:52" s="57" customFormat="1" ht="24.9" customHeight="1" x14ac:dyDescent="0.25">
      <c r="A11" s="588" t="s">
        <v>991</v>
      </c>
      <c r="B11" s="97" t="s">
        <v>279</v>
      </c>
      <c r="C11" s="303"/>
      <c r="D11" s="228" t="s">
        <v>664</v>
      </c>
      <c r="E11" s="305" t="s">
        <v>916</v>
      </c>
      <c r="F11" s="228" t="s">
        <v>709</v>
      </c>
      <c r="G11" s="307">
        <v>20.81</v>
      </c>
      <c r="H11" s="97" t="str">
        <f>VLOOKUP($F11,'Leistungswerte UHR Kigas'!$C$6:$F$27,3,FALSE)</f>
        <v>J1</v>
      </c>
      <c r="I11" s="98">
        <f>VLOOKUP(H11,Turnus!$H$9:$I$26,2,FALSE)</f>
        <v>1</v>
      </c>
      <c r="J11" s="127">
        <f t="shared" ref="J11" si="11">+G11*I11</f>
        <v>20.81</v>
      </c>
      <c r="K11" s="128">
        <f>VLOOKUP($F11,'Leistungswerte UHR Kigas'!$C$6:$F$27,4,FALSE)</f>
        <v>0</v>
      </c>
      <c r="L11" s="496" t="str">
        <f t="shared" si="8"/>
        <v/>
      </c>
      <c r="M11" s="129">
        <f t="shared" ref="M11" si="12">IF(ISERROR(J11/K11),0,J11/K11)</f>
        <v>0</v>
      </c>
      <c r="N11" s="547">
        <f t="shared" si="9"/>
        <v>0</v>
      </c>
      <c r="O11" s="130">
        <f t="shared" ref="O11" si="13">IF(ISERROR(G11/K11*N11),0,G11/K11*N11)</f>
        <v>0</v>
      </c>
      <c r="P11" s="131">
        <f t="shared" si="5"/>
        <v>0</v>
      </c>
      <c r="R11" s="481"/>
      <c r="S11" s="482"/>
      <c r="T11" s="482"/>
      <c r="U11" s="482"/>
      <c r="V11" s="482"/>
      <c r="W11" s="482"/>
      <c r="X11" s="482"/>
      <c r="Y11" s="482"/>
      <c r="Z11" s="482"/>
      <c r="AA11" s="482"/>
      <c r="AB11" s="482"/>
      <c r="AC11" s="482"/>
      <c r="AD11" s="482"/>
      <c r="AE11" s="482"/>
      <c r="AF11" s="482"/>
      <c r="AG11" s="482"/>
      <c r="AH11" s="482"/>
      <c r="AI11" s="482"/>
      <c r="AJ11" s="482"/>
      <c r="AK11" s="482"/>
      <c r="AL11" s="482"/>
      <c r="AM11" s="482"/>
      <c r="AN11" s="482"/>
      <c r="AO11" s="482"/>
      <c r="AP11" s="482"/>
      <c r="AQ11" s="482"/>
      <c r="AR11" s="482"/>
      <c r="AS11" s="482"/>
      <c r="AT11" s="482"/>
      <c r="AU11" s="482"/>
      <c r="AV11" s="482"/>
      <c r="AW11" s="483"/>
      <c r="AX11" s="484">
        <f t="shared" si="10"/>
        <v>0</v>
      </c>
      <c r="AY11" s="501" t="str">
        <f t="shared" si="6"/>
        <v/>
      </c>
      <c r="AZ11" s="488">
        <f t="shared" si="7"/>
        <v>0</v>
      </c>
    </row>
    <row r="12" spans="1:52" s="57" customFormat="1" ht="24.9" customHeight="1" x14ac:dyDescent="0.25">
      <c r="A12" s="588" t="s">
        <v>991</v>
      </c>
      <c r="B12" s="97" t="s">
        <v>279</v>
      </c>
      <c r="C12" s="303"/>
      <c r="D12" s="228" t="s">
        <v>705</v>
      </c>
      <c r="E12" s="305" t="s">
        <v>916</v>
      </c>
      <c r="F12" s="228" t="s">
        <v>709</v>
      </c>
      <c r="G12" s="307">
        <v>5.55</v>
      </c>
      <c r="H12" s="97" t="str">
        <f>VLOOKUP($F12,'Leistungswerte UHR Kigas'!$C$6:$F$27,3,FALSE)</f>
        <v>J1</v>
      </c>
      <c r="I12" s="98">
        <f>VLOOKUP(H12,Turnus!$H$9:$I$26,2,FALSE)</f>
        <v>1</v>
      </c>
      <c r="J12" s="127">
        <f t="shared" ref="J12" si="14">+G12*I12</f>
        <v>5.55</v>
      </c>
      <c r="K12" s="128">
        <f>VLOOKUP($F12,'Leistungswerte UHR Kigas'!$C$6:$F$27,4,FALSE)</f>
        <v>0</v>
      </c>
      <c r="L12" s="496" t="str">
        <f t="shared" si="8"/>
        <v/>
      </c>
      <c r="M12" s="129">
        <f t="shared" ref="M12" si="15">IF(ISERROR(J12/K12),0,J12/K12)</f>
        <v>0</v>
      </c>
      <c r="N12" s="547">
        <f t="shared" si="9"/>
        <v>0</v>
      </c>
      <c r="O12" s="130">
        <f t="shared" ref="O12" si="16">IF(ISERROR(G12/K12*N12),0,G12/K12*N12)</f>
        <v>0</v>
      </c>
      <c r="P12" s="131">
        <f t="shared" si="5"/>
        <v>0</v>
      </c>
      <c r="R12" s="481"/>
      <c r="S12" s="482"/>
      <c r="T12" s="482"/>
      <c r="U12" s="482"/>
      <c r="V12" s="482"/>
      <c r="W12" s="482"/>
      <c r="X12" s="482"/>
      <c r="Y12" s="482"/>
      <c r="Z12" s="482"/>
      <c r="AA12" s="482"/>
      <c r="AB12" s="482"/>
      <c r="AC12" s="482"/>
      <c r="AD12" s="482"/>
      <c r="AE12" s="482"/>
      <c r="AF12" s="482"/>
      <c r="AG12" s="482"/>
      <c r="AH12" s="482"/>
      <c r="AI12" s="482"/>
      <c r="AJ12" s="482"/>
      <c r="AK12" s="482"/>
      <c r="AL12" s="482"/>
      <c r="AM12" s="482"/>
      <c r="AN12" s="482"/>
      <c r="AO12" s="482"/>
      <c r="AP12" s="482"/>
      <c r="AQ12" s="482"/>
      <c r="AR12" s="482"/>
      <c r="AS12" s="482"/>
      <c r="AT12" s="482"/>
      <c r="AU12" s="482"/>
      <c r="AV12" s="482"/>
      <c r="AW12" s="483"/>
      <c r="AX12" s="484">
        <f t="shared" si="10"/>
        <v>0</v>
      </c>
      <c r="AY12" s="501" t="str">
        <f t="shared" si="6"/>
        <v/>
      </c>
      <c r="AZ12" s="488">
        <f t="shared" si="7"/>
        <v>0</v>
      </c>
    </row>
    <row r="13" spans="1:52" s="57" customFormat="1" ht="24.9" customHeight="1" x14ac:dyDescent="0.25">
      <c r="A13" s="588" t="s">
        <v>991</v>
      </c>
      <c r="B13" s="97" t="s">
        <v>279</v>
      </c>
      <c r="C13" s="303"/>
      <c r="D13" s="228" t="s">
        <v>706</v>
      </c>
      <c r="E13" s="305" t="s">
        <v>916</v>
      </c>
      <c r="F13" s="228" t="s">
        <v>709</v>
      </c>
      <c r="G13" s="307">
        <v>9.08</v>
      </c>
      <c r="H13" s="97" t="str">
        <f>VLOOKUP($F13,'Leistungswerte UHR Kigas'!$C$6:$F$27,3,FALSE)</f>
        <v>J1</v>
      </c>
      <c r="I13" s="98">
        <f>VLOOKUP(H13,Turnus!$H$9:$I$26,2,FALSE)</f>
        <v>1</v>
      </c>
      <c r="J13" s="127">
        <f t="shared" ref="J13" si="17">+G13*I13</f>
        <v>9.08</v>
      </c>
      <c r="K13" s="128">
        <f>VLOOKUP($F13,'Leistungswerte UHR Kigas'!$C$6:$F$27,4,FALSE)</f>
        <v>0</v>
      </c>
      <c r="L13" s="496" t="str">
        <f t="shared" si="8"/>
        <v/>
      </c>
      <c r="M13" s="129">
        <f t="shared" ref="M13" si="18">IF(ISERROR(J13/K13),0,J13/K13)</f>
        <v>0</v>
      </c>
      <c r="N13" s="547">
        <f t="shared" si="9"/>
        <v>0</v>
      </c>
      <c r="O13" s="130">
        <f t="shared" ref="O13" si="19">IF(ISERROR(G13/K13*N13),0,G13/K13*N13)</f>
        <v>0</v>
      </c>
      <c r="P13" s="131">
        <f t="shared" si="5"/>
        <v>0</v>
      </c>
      <c r="R13" s="481"/>
      <c r="S13" s="482"/>
      <c r="T13" s="482"/>
      <c r="U13" s="482"/>
      <c r="V13" s="482"/>
      <c r="W13" s="482"/>
      <c r="X13" s="482"/>
      <c r="Y13" s="482"/>
      <c r="Z13" s="482"/>
      <c r="AA13" s="482"/>
      <c r="AB13" s="482"/>
      <c r="AC13" s="482"/>
      <c r="AD13" s="482"/>
      <c r="AE13" s="482"/>
      <c r="AF13" s="482"/>
      <c r="AG13" s="482"/>
      <c r="AH13" s="482"/>
      <c r="AI13" s="482"/>
      <c r="AJ13" s="482"/>
      <c r="AK13" s="482"/>
      <c r="AL13" s="482"/>
      <c r="AM13" s="482"/>
      <c r="AN13" s="482"/>
      <c r="AO13" s="482"/>
      <c r="AP13" s="482"/>
      <c r="AQ13" s="482"/>
      <c r="AR13" s="482"/>
      <c r="AS13" s="482"/>
      <c r="AT13" s="482"/>
      <c r="AU13" s="482"/>
      <c r="AV13" s="482"/>
      <c r="AW13" s="483"/>
      <c r="AX13" s="484">
        <f t="shared" si="10"/>
        <v>0</v>
      </c>
      <c r="AY13" s="501" t="str">
        <f t="shared" si="6"/>
        <v/>
      </c>
      <c r="AZ13" s="488">
        <f t="shared" si="7"/>
        <v>0</v>
      </c>
    </row>
    <row r="14" spans="1:52" s="57" customFormat="1" ht="24.9" customHeight="1" x14ac:dyDescent="0.25">
      <c r="A14" s="588" t="s">
        <v>991</v>
      </c>
      <c r="B14" s="97" t="s">
        <v>279</v>
      </c>
      <c r="C14" s="303"/>
      <c r="D14" s="304" t="s">
        <v>165</v>
      </c>
      <c r="E14" s="305" t="s">
        <v>906</v>
      </c>
      <c r="F14" s="228" t="s">
        <v>689</v>
      </c>
      <c r="G14" s="307">
        <v>19.32</v>
      </c>
      <c r="H14" s="97" t="str">
        <f>VLOOKUP($F14,'Leistungswerte UHR Kigas'!$C$6:$F$27,3,FALSE)</f>
        <v>M1</v>
      </c>
      <c r="I14" s="98">
        <f>VLOOKUP(H14,Turnus!$H$9:$I$26,2,FALSE)</f>
        <v>12</v>
      </c>
      <c r="J14" s="127">
        <f>+G14*I14</f>
        <v>231.84</v>
      </c>
      <c r="K14" s="128">
        <f>VLOOKUP($F14,'Leistungswerte UHR Kigas'!$C$6:$F$27,4,FALSE)</f>
        <v>0</v>
      </c>
      <c r="L14" s="496" t="str">
        <f t="shared" si="8"/>
        <v/>
      </c>
      <c r="M14" s="129">
        <f>IF(ISERROR(J14/K14),0,J14/K14)</f>
        <v>0</v>
      </c>
      <c r="N14" s="547">
        <f t="shared" si="9"/>
        <v>0</v>
      </c>
      <c r="O14" s="130">
        <f>IF(ISERROR(G14/K14*N14),0,G14/K14*N14)</f>
        <v>0</v>
      </c>
      <c r="P14" s="131">
        <f t="shared" si="5"/>
        <v>0</v>
      </c>
      <c r="R14" s="481"/>
      <c r="S14" s="482"/>
      <c r="T14" s="482"/>
      <c r="U14" s="482"/>
      <c r="V14" s="482"/>
      <c r="W14" s="482"/>
      <c r="X14" s="482"/>
      <c r="Y14" s="482"/>
      <c r="Z14" s="482"/>
      <c r="AA14" s="482"/>
      <c r="AB14" s="482"/>
      <c r="AC14" s="482"/>
      <c r="AD14" s="482"/>
      <c r="AE14" s="482"/>
      <c r="AF14" s="482"/>
      <c r="AG14" s="482"/>
      <c r="AH14" s="482"/>
      <c r="AI14" s="482"/>
      <c r="AJ14" s="482"/>
      <c r="AK14" s="482"/>
      <c r="AL14" s="482"/>
      <c r="AM14" s="482"/>
      <c r="AN14" s="482"/>
      <c r="AO14" s="482"/>
      <c r="AP14" s="482"/>
      <c r="AQ14" s="482"/>
      <c r="AR14" s="482"/>
      <c r="AS14" s="482"/>
      <c r="AT14" s="482"/>
      <c r="AU14" s="482"/>
      <c r="AV14" s="482"/>
      <c r="AW14" s="483"/>
      <c r="AX14" s="484">
        <f t="shared" si="10"/>
        <v>0</v>
      </c>
      <c r="AY14" s="501" t="str">
        <f t="shared" si="6"/>
        <v/>
      </c>
      <c r="AZ14" s="488">
        <f t="shared" si="7"/>
        <v>0</v>
      </c>
    </row>
    <row r="15" spans="1:52" s="57" customFormat="1" ht="24.9" customHeight="1" x14ac:dyDescent="0.25">
      <c r="A15" s="588" t="s">
        <v>991</v>
      </c>
      <c r="B15" s="97" t="s">
        <v>279</v>
      </c>
      <c r="C15" s="303"/>
      <c r="D15" s="228" t="s">
        <v>102</v>
      </c>
      <c r="E15" s="305" t="s">
        <v>916</v>
      </c>
      <c r="F15" s="228" t="s">
        <v>676</v>
      </c>
      <c r="G15" s="307">
        <v>24.66</v>
      </c>
      <c r="H15" s="97" t="str">
        <f>VLOOKUP($F15,'Leistungswerte UHR Kigas'!$C$6:$F$27,3,FALSE)</f>
        <v>W5</v>
      </c>
      <c r="I15" s="98">
        <f>VLOOKUP(H15,Turnus!$H$9:$I$26,2,FALSE)</f>
        <v>230</v>
      </c>
      <c r="J15" s="127">
        <f t="shared" si="2"/>
        <v>5671.8</v>
      </c>
      <c r="K15" s="128">
        <f>VLOOKUP($F15,'Leistungswerte UHR Kigas'!$C$6:$F$27,4,FALSE)</f>
        <v>0</v>
      </c>
      <c r="L15" s="496" t="str">
        <f t="shared" si="8"/>
        <v/>
      </c>
      <c r="M15" s="129">
        <f t="shared" si="3"/>
        <v>0</v>
      </c>
      <c r="N15" s="547">
        <f t="shared" si="9"/>
        <v>0</v>
      </c>
      <c r="O15" s="130">
        <f t="shared" si="4"/>
        <v>0</v>
      </c>
      <c r="P15" s="131">
        <f t="shared" si="5"/>
        <v>0</v>
      </c>
      <c r="R15" s="481"/>
      <c r="S15" s="482"/>
      <c r="T15" s="482"/>
      <c r="U15" s="482"/>
      <c r="V15" s="482"/>
      <c r="W15" s="482"/>
      <c r="X15" s="482"/>
      <c r="Y15" s="482"/>
      <c r="Z15" s="482"/>
      <c r="AA15" s="482"/>
      <c r="AB15" s="482"/>
      <c r="AC15" s="482"/>
      <c r="AD15" s="482"/>
      <c r="AE15" s="482"/>
      <c r="AF15" s="482"/>
      <c r="AG15" s="482"/>
      <c r="AH15" s="482"/>
      <c r="AI15" s="482"/>
      <c r="AJ15" s="482"/>
      <c r="AK15" s="482"/>
      <c r="AL15" s="482"/>
      <c r="AM15" s="482"/>
      <c r="AN15" s="482"/>
      <c r="AO15" s="482"/>
      <c r="AP15" s="482"/>
      <c r="AQ15" s="482"/>
      <c r="AR15" s="482"/>
      <c r="AS15" s="482"/>
      <c r="AT15" s="482"/>
      <c r="AU15" s="482"/>
      <c r="AV15" s="482"/>
      <c r="AW15" s="483"/>
      <c r="AX15" s="484">
        <f t="shared" si="10"/>
        <v>0</v>
      </c>
      <c r="AY15" s="501" t="str">
        <f t="shared" si="6"/>
        <v/>
      </c>
      <c r="AZ15" s="488">
        <f t="shared" si="7"/>
        <v>0</v>
      </c>
    </row>
    <row r="16" spans="1:52" s="57" customFormat="1" ht="24.9" customHeight="1" x14ac:dyDescent="0.25">
      <c r="A16" s="588" t="s">
        <v>991</v>
      </c>
      <c r="B16" s="97" t="s">
        <v>279</v>
      </c>
      <c r="C16" s="303"/>
      <c r="D16" s="304" t="s">
        <v>638</v>
      </c>
      <c r="E16" s="305" t="s">
        <v>905</v>
      </c>
      <c r="F16" s="228" t="s">
        <v>680</v>
      </c>
      <c r="G16" s="307">
        <v>35.21</v>
      </c>
      <c r="H16" s="97" t="str">
        <f>VLOOKUP($F16,'Leistungswerte UHR Kigas'!$C$6:$F$27,3,FALSE)</f>
        <v>W5</v>
      </c>
      <c r="I16" s="98">
        <f>VLOOKUP(H16,Turnus!$H$9:$I$26,2,FALSE)</f>
        <v>230</v>
      </c>
      <c r="J16" s="127">
        <f t="shared" ref="J16:J23" si="20">+G16*I16</f>
        <v>8098.3</v>
      </c>
      <c r="K16" s="128">
        <f>VLOOKUP($F16,'Leistungswerte UHR Kigas'!$C$6:$F$27,4,FALSE)</f>
        <v>0</v>
      </c>
      <c r="L16" s="496" t="str">
        <f t="shared" si="8"/>
        <v/>
      </c>
      <c r="M16" s="129">
        <f t="shared" ref="M16:M23" si="21">IF(ISERROR(J16/K16),0,J16/K16)</f>
        <v>0</v>
      </c>
      <c r="N16" s="547">
        <f t="shared" si="9"/>
        <v>0</v>
      </c>
      <c r="O16" s="130">
        <f t="shared" ref="O16:O23" si="22">IF(ISERROR(G16/K16*N16),0,G16/K16*N16)</f>
        <v>0</v>
      </c>
      <c r="P16" s="131">
        <f t="shared" si="5"/>
        <v>0</v>
      </c>
      <c r="R16" s="481"/>
      <c r="S16" s="482"/>
      <c r="T16" s="482"/>
      <c r="U16" s="482"/>
      <c r="V16" s="482"/>
      <c r="W16" s="482"/>
      <c r="X16" s="482"/>
      <c r="Y16" s="482"/>
      <c r="Z16" s="482"/>
      <c r="AA16" s="482"/>
      <c r="AB16" s="482"/>
      <c r="AC16" s="482"/>
      <c r="AD16" s="482"/>
      <c r="AE16" s="482"/>
      <c r="AF16" s="482"/>
      <c r="AG16" s="482"/>
      <c r="AH16" s="482"/>
      <c r="AI16" s="482"/>
      <c r="AJ16" s="482"/>
      <c r="AK16" s="482"/>
      <c r="AL16" s="482"/>
      <c r="AM16" s="482"/>
      <c r="AN16" s="482"/>
      <c r="AO16" s="482"/>
      <c r="AP16" s="482"/>
      <c r="AQ16" s="482"/>
      <c r="AR16" s="482"/>
      <c r="AS16" s="482"/>
      <c r="AT16" s="482"/>
      <c r="AU16" s="482"/>
      <c r="AV16" s="482"/>
      <c r="AW16" s="483"/>
      <c r="AX16" s="484">
        <f t="shared" si="10"/>
        <v>0</v>
      </c>
      <c r="AY16" s="501" t="str">
        <f t="shared" si="6"/>
        <v/>
      </c>
      <c r="AZ16" s="488">
        <f t="shared" si="7"/>
        <v>0</v>
      </c>
    </row>
    <row r="17" spans="1:52" s="57" customFormat="1" ht="24.9" customHeight="1" x14ac:dyDescent="0.25">
      <c r="A17" s="588" t="s">
        <v>991</v>
      </c>
      <c r="B17" s="97" t="s">
        <v>279</v>
      </c>
      <c r="C17" s="303"/>
      <c r="D17" s="228" t="s">
        <v>168</v>
      </c>
      <c r="E17" s="305" t="s">
        <v>916</v>
      </c>
      <c r="F17" s="228" t="s">
        <v>688</v>
      </c>
      <c r="G17" s="307">
        <v>5.85</v>
      </c>
      <c r="H17" s="97" t="str">
        <f>VLOOKUP($F17,'Leistungswerte UHR Kigas'!$C$6:$F$27,3,FALSE)</f>
        <v>W1</v>
      </c>
      <c r="I17" s="98">
        <f>VLOOKUP(H17,Turnus!$H$9:$I$26,2,FALSE)</f>
        <v>48</v>
      </c>
      <c r="J17" s="127">
        <f t="shared" si="20"/>
        <v>280.79999999999995</v>
      </c>
      <c r="K17" s="128">
        <f>VLOOKUP($F17,'Leistungswerte UHR Kigas'!$C$6:$F$27,4,FALSE)</f>
        <v>0</v>
      </c>
      <c r="L17" s="496" t="str">
        <f t="shared" si="8"/>
        <v/>
      </c>
      <c r="M17" s="129">
        <f t="shared" si="21"/>
        <v>0</v>
      </c>
      <c r="N17" s="547">
        <f t="shared" si="9"/>
        <v>0</v>
      </c>
      <c r="O17" s="130">
        <f t="shared" si="22"/>
        <v>0</v>
      </c>
      <c r="P17" s="131">
        <f t="shared" si="5"/>
        <v>0</v>
      </c>
      <c r="R17" s="481"/>
      <c r="S17" s="482"/>
      <c r="T17" s="482"/>
      <c r="U17" s="482"/>
      <c r="V17" s="482"/>
      <c r="W17" s="482"/>
      <c r="X17" s="482"/>
      <c r="Y17" s="482"/>
      <c r="Z17" s="482"/>
      <c r="AA17" s="482"/>
      <c r="AB17" s="482"/>
      <c r="AC17" s="482"/>
      <c r="AD17" s="482"/>
      <c r="AE17" s="482"/>
      <c r="AF17" s="482"/>
      <c r="AG17" s="482"/>
      <c r="AH17" s="482"/>
      <c r="AI17" s="482"/>
      <c r="AJ17" s="482"/>
      <c r="AK17" s="482"/>
      <c r="AL17" s="482"/>
      <c r="AM17" s="482"/>
      <c r="AN17" s="482"/>
      <c r="AO17" s="482"/>
      <c r="AP17" s="482"/>
      <c r="AQ17" s="482"/>
      <c r="AR17" s="482"/>
      <c r="AS17" s="482"/>
      <c r="AT17" s="482"/>
      <c r="AU17" s="482"/>
      <c r="AV17" s="482"/>
      <c r="AW17" s="483"/>
      <c r="AX17" s="484">
        <f t="shared" si="10"/>
        <v>0</v>
      </c>
      <c r="AY17" s="501" t="str">
        <f t="shared" si="6"/>
        <v/>
      </c>
      <c r="AZ17" s="488">
        <f t="shared" si="7"/>
        <v>0</v>
      </c>
    </row>
    <row r="18" spans="1:52" s="57" customFormat="1" ht="24.9" customHeight="1" x14ac:dyDescent="0.25">
      <c r="A18" s="588" t="s">
        <v>991</v>
      </c>
      <c r="B18" s="97" t="s">
        <v>279</v>
      </c>
      <c r="C18" s="303"/>
      <c r="D18" s="304" t="s">
        <v>639</v>
      </c>
      <c r="E18" s="305" t="s">
        <v>905</v>
      </c>
      <c r="F18" s="228" t="s">
        <v>669</v>
      </c>
      <c r="G18" s="307">
        <v>35.549999999999997</v>
      </c>
      <c r="H18" s="97" t="str">
        <f>VLOOKUP($F18,'Leistungswerte UHR Kigas'!$C$6:$F$27,3,FALSE)</f>
        <v>W5</v>
      </c>
      <c r="I18" s="98">
        <f>VLOOKUP(H18,Turnus!$H$9:$I$26,2,FALSE)</f>
        <v>230</v>
      </c>
      <c r="J18" s="127">
        <f t="shared" si="20"/>
        <v>8176.4999999999991</v>
      </c>
      <c r="K18" s="128">
        <f>VLOOKUP($F18,'Leistungswerte UHR Kigas'!$C$6:$F$27,4,FALSE)</f>
        <v>0</v>
      </c>
      <c r="L18" s="496" t="str">
        <f t="shared" si="8"/>
        <v/>
      </c>
      <c r="M18" s="129">
        <f t="shared" si="21"/>
        <v>0</v>
      </c>
      <c r="N18" s="547">
        <f t="shared" si="9"/>
        <v>0</v>
      </c>
      <c r="O18" s="130">
        <f t="shared" si="22"/>
        <v>0</v>
      </c>
      <c r="P18" s="131">
        <f t="shared" si="5"/>
        <v>0</v>
      </c>
      <c r="R18" s="481"/>
      <c r="S18" s="482"/>
      <c r="T18" s="482"/>
      <c r="U18" s="482"/>
      <c r="V18" s="482"/>
      <c r="W18" s="482"/>
      <c r="X18" s="482"/>
      <c r="Y18" s="482"/>
      <c r="Z18" s="482"/>
      <c r="AA18" s="482"/>
      <c r="AB18" s="482"/>
      <c r="AC18" s="482"/>
      <c r="AD18" s="482"/>
      <c r="AE18" s="482"/>
      <c r="AF18" s="482"/>
      <c r="AG18" s="482"/>
      <c r="AH18" s="482"/>
      <c r="AI18" s="482"/>
      <c r="AJ18" s="482"/>
      <c r="AK18" s="482"/>
      <c r="AL18" s="482"/>
      <c r="AM18" s="482"/>
      <c r="AN18" s="482"/>
      <c r="AO18" s="482"/>
      <c r="AP18" s="482"/>
      <c r="AQ18" s="482"/>
      <c r="AR18" s="482"/>
      <c r="AS18" s="482"/>
      <c r="AT18" s="482"/>
      <c r="AU18" s="482"/>
      <c r="AV18" s="482"/>
      <c r="AW18" s="483"/>
      <c r="AX18" s="484">
        <f t="shared" si="10"/>
        <v>0</v>
      </c>
      <c r="AY18" s="501" t="str">
        <f t="shared" si="6"/>
        <v/>
      </c>
      <c r="AZ18" s="488">
        <f t="shared" si="7"/>
        <v>0</v>
      </c>
    </row>
    <row r="19" spans="1:52" s="57" customFormat="1" ht="24.9" customHeight="1" x14ac:dyDescent="0.25">
      <c r="A19" s="588" t="s">
        <v>991</v>
      </c>
      <c r="B19" s="97" t="s">
        <v>279</v>
      </c>
      <c r="C19" s="303"/>
      <c r="D19" s="304" t="s">
        <v>640</v>
      </c>
      <c r="E19" s="305" t="s">
        <v>905</v>
      </c>
      <c r="F19" s="228" t="s">
        <v>669</v>
      </c>
      <c r="G19" s="307">
        <v>22.28</v>
      </c>
      <c r="H19" s="97" t="str">
        <f>VLOOKUP($F19,'Leistungswerte UHR Kigas'!$C$6:$F$27,3,FALSE)</f>
        <v>W5</v>
      </c>
      <c r="I19" s="98">
        <f>VLOOKUP(H19,Turnus!$H$9:$I$26,2,FALSE)</f>
        <v>230</v>
      </c>
      <c r="J19" s="127">
        <f t="shared" si="20"/>
        <v>5124.4000000000005</v>
      </c>
      <c r="K19" s="128">
        <f>VLOOKUP($F19,'Leistungswerte UHR Kigas'!$C$6:$F$27,4,FALSE)</f>
        <v>0</v>
      </c>
      <c r="L19" s="496" t="str">
        <f t="shared" si="8"/>
        <v/>
      </c>
      <c r="M19" s="129">
        <f t="shared" si="21"/>
        <v>0</v>
      </c>
      <c r="N19" s="547">
        <f t="shared" si="9"/>
        <v>0</v>
      </c>
      <c r="O19" s="130">
        <f t="shared" si="22"/>
        <v>0</v>
      </c>
      <c r="P19" s="131">
        <f t="shared" si="5"/>
        <v>0</v>
      </c>
      <c r="R19" s="481"/>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c r="AW19" s="483"/>
      <c r="AX19" s="484">
        <f t="shared" si="10"/>
        <v>0</v>
      </c>
      <c r="AY19" s="501" t="str">
        <f t="shared" si="6"/>
        <v/>
      </c>
      <c r="AZ19" s="488">
        <f t="shared" si="7"/>
        <v>0</v>
      </c>
    </row>
    <row r="20" spans="1:52" s="57" customFormat="1" ht="24.9" customHeight="1" x14ac:dyDescent="0.25">
      <c r="A20" s="588" t="s">
        <v>991</v>
      </c>
      <c r="B20" s="97" t="s">
        <v>279</v>
      </c>
      <c r="C20" s="303"/>
      <c r="D20" s="304" t="s">
        <v>641</v>
      </c>
      <c r="E20" s="305" t="s">
        <v>905</v>
      </c>
      <c r="F20" s="228" t="s">
        <v>669</v>
      </c>
      <c r="G20" s="307">
        <v>30.62</v>
      </c>
      <c r="H20" s="97" t="str">
        <f>VLOOKUP($F20,'Leistungswerte UHR Kigas'!$C$6:$F$27,3,FALSE)</f>
        <v>W5</v>
      </c>
      <c r="I20" s="98">
        <f>VLOOKUP(H20,Turnus!$H$9:$I$26,2,FALSE)</f>
        <v>230</v>
      </c>
      <c r="J20" s="127">
        <f t="shared" si="20"/>
        <v>7042.6</v>
      </c>
      <c r="K20" s="128">
        <f>VLOOKUP($F20,'Leistungswerte UHR Kigas'!$C$6:$F$27,4,FALSE)</f>
        <v>0</v>
      </c>
      <c r="L20" s="496" t="str">
        <f t="shared" si="8"/>
        <v/>
      </c>
      <c r="M20" s="129">
        <f t="shared" si="21"/>
        <v>0</v>
      </c>
      <c r="N20" s="547">
        <f t="shared" si="9"/>
        <v>0</v>
      </c>
      <c r="O20" s="130">
        <f t="shared" si="22"/>
        <v>0</v>
      </c>
      <c r="P20" s="131">
        <f t="shared" si="5"/>
        <v>0</v>
      </c>
      <c r="R20" s="481"/>
      <c r="S20" s="482"/>
      <c r="T20" s="482"/>
      <c r="U20" s="482"/>
      <c r="V20" s="482"/>
      <c r="W20" s="482"/>
      <c r="X20" s="482"/>
      <c r="Y20" s="482"/>
      <c r="Z20" s="482"/>
      <c r="AA20" s="482"/>
      <c r="AB20" s="482"/>
      <c r="AC20" s="482"/>
      <c r="AD20" s="482"/>
      <c r="AE20" s="482"/>
      <c r="AF20" s="482"/>
      <c r="AG20" s="482"/>
      <c r="AH20" s="482"/>
      <c r="AI20" s="482"/>
      <c r="AJ20" s="482"/>
      <c r="AK20" s="482"/>
      <c r="AL20" s="482"/>
      <c r="AM20" s="482"/>
      <c r="AN20" s="482"/>
      <c r="AO20" s="482"/>
      <c r="AP20" s="482"/>
      <c r="AQ20" s="482"/>
      <c r="AR20" s="482"/>
      <c r="AS20" s="482"/>
      <c r="AT20" s="482"/>
      <c r="AU20" s="482"/>
      <c r="AV20" s="482"/>
      <c r="AW20" s="483"/>
      <c r="AX20" s="484">
        <f t="shared" si="10"/>
        <v>0</v>
      </c>
      <c r="AY20" s="501" t="str">
        <f t="shared" si="6"/>
        <v/>
      </c>
      <c r="AZ20" s="488">
        <f t="shared" si="7"/>
        <v>0</v>
      </c>
    </row>
    <row r="21" spans="1:52" s="57" customFormat="1" ht="24.9" customHeight="1" x14ac:dyDescent="0.25">
      <c r="A21" s="588" t="s">
        <v>991</v>
      </c>
      <c r="B21" s="97" t="s">
        <v>279</v>
      </c>
      <c r="C21" s="303"/>
      <c r="D21" s="312" t="s">
        <v>642</v>
      </c>
      <c r="E21" s="305" t="s">
        <v>905</v>
      </c>
      <c r="F21" s="228" t="s">
        <v>669</v>
      </c>
      <c r="G21" s="307">
        <v>5</v>
      </c>
      <c r="H21" s="97" t="str">
        <f>VLOOKUP($F21,'Leistungswerte UHR Kigas'!$C$6:$F$27,3,FALSE)</f>
        <v>W5</v>
      </c>
      <c r="I21" s="98">
        <f>VLOOKUP(H21,Turnus!$H$9:$I$26,2,FALSE)</f>
        <v>230</v>
      </c>
      <c r="J21" s="127">
        <f t="shared" si="20"/>
        <v>1150</v>
      </c>
      <c r="K21" s="128">
        <f>VLOOKUP($F21,'Leistungswerte UHR Kigas'!$C$6:$F$27,4,FALSE)</f>
        <v>0</v>
      </c>
      <c r="L21" s="496" t="str">
        <f t="shared" si="8"/>
        <v/>
      </c>
      <c r="M21" s="129">
        <f t="shared" si="21"/>
        <v>0</v>
      </c>
      <c r="N21" s="547">
        <f t="shared" si="9"/>
        <v>0</v>
      </c>
      <c r="O21" s="130">
        <f t="shared" si="22"/>
        <v>0</v>
      </c>
      <c r="P21" s="131">
        <f t="shared" si="5"/>
        <v>0</v>
      </c>
      <c r="Q21" s="309"/>
      <c r="R21" s="481"/>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c r="AW21" s="483"/>
      <c r="AX21" s="484">
        <f t="shared" si="10"/>
        <v>0</v>
      </c>
      <c r="AY21" s="501" t="str">
        <f t="shared" si="6"/>
        <v/>
      </c>
      <c r="AZ21" s="488">
        <f t="shared" si="7"/>
        <v>0</v>
      </c>
    </row>
    <row r="22" spans="1:52" s="57" customFormat="1" ht="24.9" customHeight="1" x14ac:dyDescent="0.25">
      <c r="A22" s="588" t="s">
        <v>991</v>
      </c>
      <c r="B22" s="97" t="s">
        <v>279</v>
      </c>
      <c r="C22" s="303"/>
      <c r="D22" s="304" t="s">
        <v>168</v>
      </c>
      <c r="E22" s="305" t="s">
        <v>905</v>
      </c>
      <c r="F22" s="228" t="s">
        <v>688</v>
      </c>
      <c r="G22" s="307">
        <v>4.08</v>
      </c>
      <c r="H22" s="97" t="str">
        <f>VLOOKUP($F22,'Leistungswerte UHR Kigas'!$C$6:$F$27,3,FALSE)</f>
        <v>W1</v>
      </c>
      <c r="I22" s="98">
        <f>VLOOKUP(H22,Turnus!$H$9:$I$26,2,FALSE)</f>
        <v>48</v>
      </c>
      <c r="J22" s="127">
        <f t="shared" si="20"/>
        <v>195.84</v>
      </c>
      <c r="K22" s="128">
        <f>VLOOKUP($F22,'Leistungswerte UHR Kigas'!$C$6:$F$27,4,FALSE)</f>
        <v>0</v>
      </c>
      <c r="L22" s="496" t="str">
        <f t="shared" si="8"/>
        <v/>
      </c>
      <c r="M22" s="129">
        <f t="shared" si="21"/>
        <v>0</v>
      </c>
      <c r="N22" s="547">
        <f t="shared" si="9"/>
        <v>0</v>
      </c>
      <c r="O22" s="130">
        <f t="shared" si="22"/>
        <v>0</v>
      </c>
      <c r="P22" s="131">
        <f t="shared" si="5"/>
        <v>0</v>
      </c>
      <c r="R22" s="481"/>
      <c r="S22" s="482"/>
      <c r="T22" s="482"/>
      <c r="U22" s="482"/>
      <c r="V22" s="482"/>
      <c r="W22" s="482"/>
      <c r="X22" s="482"/>
      <c r="Y22" s="482"/>
      <c r="Z22" s="482"/>
      <c r="AA22" s="482"/>
      <c r="AB22" s="482"/>
      <c r="AC22" s="482"/>
      <c r="AD22" s="482"/>
      <c r="AE22" s="482"/>
      <c r="AF22" s="482"/>
      <c r="AG22" s="482"/>
      <c r="AH22" s="482"/>
      <c r="AI22" s="482"/>
      <c r="AJ22" s="482"/>
      <c r="AK22" s="482"/>
      <c r="AL22" s="482"/>
      <c r="AM22" s="482"/>
      <c r="AN22" s="482"/>
      <c r="AO22" s="482"/>
      <c r="AP22" s="482"/>
      <c r="AQ22" s="482"/>
      <c r="AR22" s="482"/>
      <c r="AS22" s="482"/>
      <c r="AT22" s="482"/>
      <c r="AU22" s="482"/>
      <c r="AV22" s="482"/>
      <c r="AW22" s="483"/>
      <c r="AX22" s="484">
        <f t="shared" si="10"/>
        <v>0</v>
      </c>
      <c r="AY22" s="501" t="str">
        <f t="shared" si="6"/>
        <v/>
      </c>
      <c r="AZ22" s="488">
        <f t="shared" si="7"/>
        <v>0</v>
      </c>
    </row>
    <row r="23" spans="1:52" s="57" customFormat="1" ht="24.9" customHeight="1" x14ac:dyDescent="0.25">
      <c r="A23" s="588" t="s">
        <v>991</v>
      </c>
      <c r="B23" s="97" t="s">
        <v>279</v>
      </c>
      <c r="C23" s="303"/>
      <c r="D23" s="228" t="s">
        <v>102</v>
      </c>
      <c r="E23" s="305" t="s">
        <v>916</v>
      </c>
      <c r="F23" s="228" t="s">
        <v>676</v>
      </c>
      <c r="G23" s="307">
        <v>10.01</v>
      </c>
      <c r="H23" s="97" t="str">
        <f>VLOOKUP($F23,'Leistungswerte UHR Kigas'!$C$6:$F$27,3,FALSE)</f>
        <v>W5</v>
      </c>
      <c r="I23" s="98">
        <f>VLOOKUP(H23,Turnus!$H$9:$I$26,2,FALSE)</f>
        <v>230</v>
      </c>
      <c r="J23" s="127">
        <f t="shared" si="20"/>
        <v>2302.2999999999997</v>
      </c>
      <c r="K23" s="128">
        <f>VLOOKUP($F23,'Leistungswerte UHR Kigas'!$C$6:$F$27,4,FALSE)</f>
        <v>0</v>
      </c>
      <c r="L23" s="496" t="str">
        <f t="shared" si="8"/>
        <v/>
      </c>
      <c r="M23" s="129">
        <f t="shared" si="21"/>
        <v>0</v>
      </c>
      <c r="N23" s="547">
        <f t="shared" si="9"/>
        <v>0</v>
      </c>
      <c r="O23" s="130">
        <f t="shared" si="22"/>
        <v>0</v>
      </c>
      <c r="P23" s="131">
        <f t="shared" si="5"/>
        <v>0</v>
      </c>
      <c r="R23" s="481"/>
      <c r="S23" s="482"/>
      <c r="T23" s="482"/>
      <c r="U23" s="482"/>
      <c r="V23" s="482"/>
      <c r="W23" s="482"/>
      <c r="X23" s="482"/>
      <c r="Y23" s="482"/>
      <c r="Z23" s="482"/>
      <c r="AA23" s="482"/>
      <c r="AB23" s="482"/>
      <c r="AC23" s="482"/>
      <c r="AD23" s="482"/>
      <c r="AE23" s="482"/>
      <c r="AF23" s="482"/>
      <c r="AG23" s="482"/>
      <c r="AH23" s="482"/>
      <c r="AI23" s="482"/>
      <c r="AJ23" s="482"/>
      <c r="AK23" s="482"/>
      <c r="AL23" s="482"/>
      <c r="AM23" s="482"/>
      <c r="AN23" s="482"/>
      <c r="AO23" s="482"/>
      <c r="AP23" s="482"/>
      <c r="AQ23" s="482"/>
      <c r="AR23" s="482"/>
      <c r="AS23" s="482"/>
      <c r="AT23" s="482"/>
      <c r="AU23" s="482"/>
      <c r="AV23" s="482"/>
      <c r="AW23" s="483"/>
      <c r="AX23" s="484">
        <f t="shared" si="10"/>
        <v>0</v>
      </c>
      <c r="AY23" s="501" t="str">
        <f t="shared" si="6"/>
        <v/>
      </c>
      <c r="AZ23" s="488">
        <f t="shared" si="7"/>
        <v>0</v>
      </c>
    </row>
    <row r="24" spans="1:52" s="57" customFormat="1" ht="24.9" customHeight="1" x14ac:dyDescent="0.25">
      <c r="A24" s="588" t="s">
        <v>991</v>
      </c>
      <c r="B24" s="97" t="s">
        <v>279</v>
      </c>
      <c r="C24" s="303"/>
      <c r="D24" s="304" t="s">
        <v>643</v>
      </c>
      <c r="E24" s="305" t="s">
        <v>905</v>
      </c>
      <c r="F24" s="228" t="s">
        <v>669</v>
      </c>
      <c r="G24" s="307">
        <v>20.12</v>
      </c>
      <c r="H24" s="97" t="str">
        <f>VLOOKUP($F24,'Leistungswerte UHR Kigas'!$C$6:$F$27,3,FALSE)</f>
        <v>W5</v>
      </c>
      <c r="I24" s="98">
        <f>VLOOKUP(H24,Turnus!$H$9:$I$26,2,FALSE)</f>
        <v>230</v>
      </c>
      <c r="J24" s="127">
        <f t="shared" si="2"/>
        <v>4627.6000000000004</v>
      </c>
      <c r="K24" s="128">
        <f>VLOOKUP($F24,'Leistungswerte UHR Kigas'!$C$6:$F$27,4,FALSE)</f>
        <v>0</v>
      </c>
      <c r="L24" s="496" t="str">
        <f t="shared" si="8"/>
        <v/>
      </c>
      <c r="M24" s="129">
        <f t="shared" si="3"/>
        <v>0</v>
      </c>
      <c r="N24" s="547">
        <f t="shared" si="9"/>
        <v>0</v>
      </c>
      <c r="O24" s="130">
        <f t="shared" si="4"/>
        <v>0</v>
      </c>
      <c r="P24" s="131">
        <f t="shared" si="5"/>
        <v>0</v>
      </c>
      <c r="R24" s="481"/>
      <c r="S24" s="482"/>
      <c r="T24" s="482"/>
      <c r="U24" s="482"/>
      <c r="V24" s="482"/>
      <c r="W24" s="482"/>
      <c r="X24" s="482"/>
      <c r="Y24" s="482"/>
      <c r="Z24" s="482"/>
      <c r="AA24" s="482"/>
      <c r="AB24" s="482"/>
      <c r="AC24" s="482"/>
      <c r="AD24" s="482"/>
      <c r="AE24" s="482"/>
      <c r="AF24" s="482"/>
      <c r="AG24" s="482"/>
      <c r="AH24" s="482"/>
      <c r="AI24" s="482"/>
      <c r="AJ24" s="482"/>
      <c r="AK24" s="482"/>
      <c r="AL24" s="482"/>
      <c r="AM24" s="482"/>
      <c r="AN24" s="482"/>
      <c r="AO24" s="482"/>
      <c r="AP24" s="482"/>
      <c r="AQ24" s="482"/>
      <c r="AR24" s="482"/>
      <c r="AS24" s="482"/>
      <c r="AT24" s="482"/>
      <c r="AU24" s="482"/>
      <c r="AV24" s="482"/>
      <c r="AW24" s="483"/>
      <c r="AX24" s="484">
        <f t="shared" si="10"/>
        <v>0</v>
      </c>
      <c r="AY24" s="501" t="str">
        <f t="shared" si="6"/>
        <v/>
      </c>
      <c r="AZ24" s="488">
        <f t="shared" si="7"/>
        <v>0</v>
      </c>
    </row>
    <row r="25" spans="1:52" s="57" customFormat="1" ht="24.9" customHeight="1" x14ac:dyDescent="0.25">
      <c r="A25" s="588" t="s">
        <v>991</v>
      </c>
      <c r="B25" s="97" t="s">
        <v>279</v>
      </c>
      <c r="C25" s="303"/>
      <c r="D25" s="228" t="s">
        <v>252</v>
      </c>
      <c r="E25" s="305" t="s">
        <v>916</v>
      </c>
      <c r="F25" s="228" t="s">
        <v>666</v>
      </c>
      <c r="G25" s="307">
        <v>8.6999999999999993</v>
      </c>
      <c r="H25" s="97" t="str">
        <f>VLOOKUP($F25,'Leistungswerte UHR Kigas'!$C$6:$F$27,3,FALSE)</f>
        <v>W5</v>
      </c>
      <c r="I25" s="98">
        <f>VLOOKUP(H25,Turnus!$H$9:$I$26,2,FALSE)</f>
        <v>230</v>
      </c>
      <c r="J25" s="127">
        <f t="shared" si="2"/>
        <v>2000.9999999999998</v>
      </c>
      <c r="K25" s="128">
        <f>VLOOKUP($F25,'Leistungswerte UHR Kigas'!$C$6:$F$27,4,FALSE)</f>
        <v>0</v>
      </c>
      <c r="L25" s="496" t="str">
        <f t="shared" si="8"/>
        <v/>
      </c>
      <c r="M25" s="129">
        <f t="shared" si="3"/>
        <v>0</v>
      </c>
      <c r="N25" s="547">
        <f t="shared" si="9"/>
        <v>0</v>
      </c>
      <c r="O25" s="130">
        <f t="shared" si="4"/>
        <v>0</v>
      </c>
      <c r="P25" s="131">
        <f t="shared" si="5"/>
        <v>0</v>
      </c>
      <c r="R25" s="481"/>
      <c r="S25" s="482"/>
      <c r="T25" s="482"/>
      <c r="U25" s="482"/>
      <c r="V25" s="482"/>
      <c r="W25" s="482"/>
      <c r="X25" s="482"/>
      <c r="Y25" s="482"/>
      <c r="Z25" s="482"/>
      <c r="AA25" s="482"/>
      <c r="AB25" s="482"/>
      <c r="AC25" s="482"/>
      <c r="AD25" s="482"/>
      <c r="AE25" s="482"/>
      <c r="AF25" s="482"/>
      <c r="AG25" s="482"/>
      <c r="AH25" s="482"/>
      <c r="AI25" s="482"/>
      <c r="AJ25" s="482"/>
      <c r="AK25" s="482"/>
      <c r="AL25" s="482"/>
      <c r="AM25" s="482"/>
      <c r="AN25" s="482"/>
      <c r="AO25" s="482"/>
      <c r="AP25" s="482"/>
      <c r="AQ25" s="482"/>
      <c r="AR25" s="482"/>
      <c r="AS25" s="482"/>
      <c r="AT25" s="482"/>
      <c r="AU25" s="482"/>
      <c r="AV25" s="482"/>
      <c r="AW25" s="483"/>
      <c r="AX25" s="484">
        <f t="shared" si="10"/>
        <v>0</v>
      </c>
      <c r="AY25" s="501" t="str">
        <f t="shared" si="6"/>
        <v/>
      </c>
      <c r="AZ25" s="488">
        <f t="shared" si="7"/>
        <v>0</v>
      </c>
    </row>
    <row r="26" spans="1:52" s="57" customFormat="1" ht="24.9" customHeight="1" x14ac:dyDescent="0.25">
      <c r="A26" s="588" t="s">
        <v>991</v>
      </c>
      <c r="B26" s="97" t="s">
        <v>279</v>
      </c>
      <c r="C26" s="303"/>
      <c r="D26" s="304" t="s">
        <v>644</v>
      </c>
      <c r="E26" s="305" t="s">
        <v>916</v>
      </c>
      <c r="F26" s="228" t="s">
        <v>670</v>
      </c>
      <c r="G26" s="307">
        <v>9.56</v>
      </c>
      <c r="H26" s="97" t="str">
        <f>VLOOKUP($F26,'Leistungswerte UHR Kigas'!$C$6:$F$27,3,FALSE)</f>
        <v>W5</v>
      </c>
      <c r="I26" s="98">
        <f>VLOOKUP(H26,Turnus!$H$9:$I$26,2,FALSE)</f>
        <v>230</v>
      </c>
      <c r="J26" s="127">
        <f t="shared" si="2"/>
        <v>2198.8000000000002</v>
      </c>
      <c r="K26" s="128">
        <f>VLOOKUP($F26,'Leistungswerte UHR Kigas'!$C$6:$F$27,4,FALSE)</f>
        <v>0</v>
      </c>
      <c r="L26" s="496" t="str">
        <f t="shared" si="8"/>
        <v/>
      </c>
      <c r="M26" s="129">
        <f t="shared" si="3"/>
        <v>0</v>
      </c>
      <c r="N26" s="547">
        <f t="shared" si="9"/>
        <v>0</v>
      </c>
      <c r="O26" s="130">
        <f t="shared" si="4"/>
        <v>0</v>
      </c>
      <c r="P26" s="131">
        <f t="shared" si="5"/>
        <v>0</v>
      </c>
      <c r="R26" s="481"/>
      <c r="S26" s="482"/>
      <c r="T26" s="482"/>
      <c r="U26" s="482"/>
      <c r="V26" s="482"/>
      <c r="W26" s="482"/>
      <c r="X26" s="482"/>
      <c r="Y26" s="482"/>
      <c r="Z26" s="482"/>
      <c r="AA26" s="482"/>
      <c r="AB26" s="482"/>
      <c r="AC26" s="482"/>
      <c r="AD26" s="482"/>
      <c r="AE26" s="482"/>
      <c r="AF26" s="482"/>
      <c r="AG26" s="482"/>
      <c r="AH26" s="482"/>
      <c r="AI26" s="482"/>
      <c r="AJ26" s="482"/>
      <c r="AK26" s="482"/>
      <c r="AL26" s="482"/>
      <c r="AM26" s="482"/>
      <c r="AN26" s="482"/>
      <c r="AO26" s="482"/>
      <c r="AP26" s="482"/>
      <c r="AQ26" s="482"/>
      <c r="AR26" s="482"/>
      <c r="AS26" s="482"/>
      <c r="AT26" s="482"/>
      <c r="AU26" s="482"/>
      <c r="AV26" s="482"/>
      <c r="AW26" s="483"/>
      <c r="AX26" s="484">
        <f t="shared" si="10"/>
        <v>0</v>
      </c>
      <c r="AY26" s="501" t="str">
        <f t="shared" si="6"/>
        <v/>
      </c>
      <c r="AZ26" s="488">
        <f t="shared" si="7"/>
        <v>0</v>
      </c>
    </row>
    <row r="27" spans="1:52" s="57" customFormat="1" ht="24.9" customHeight="1" x14ac:dyDescent="0.25">
      <c r="A27" s="588" t="s">
        <v>991</v>
      </c>
      <c r="B27" s="97" t="s">
        <v>279</v>
      </c>
      <c r="C27" s="303"/>
      <c r="D27" s="304" t="s">
        <v>245</v>
      </c>
      <c r="E27" s="305" t="s">
        <v>916</v>
      </c>
      <c r="F27" s="228" t="s">
        <v>670</v>
      </c>
      <c r="G27" s="307">
        <v>8.82</v>
      </c>
      <c r="H27" s="97" t="str">
        <f>VLOOKUP($F27,'Leistungswerte UHR Kigas'!$C$6:$F$27,3,FALSE)</f>
        <v>W5</v>
      </c>
      <c r="I27" s="98">
        <f>VLOOKUP(H27,Turnus!$H$9:$I$26,2,FALSE)</f>
        <v>230</v>
      </c>
      <c r="J27" s="127">
        <f t="shared" si="2"/>
        <v>2028.6000000000001</v>
      </c>
      <c r="K27" s="128">
        <f>VLOOKUP($F27,'Leistungswerte UHR Kigas'!$C$6:$F$27,4,FALSE)</f>
        <v>0</v>
      </c>
      <c r="L27" s="496" t="str">
        <f t="shared" si="8"/>
        <v/>
      </c>
      <c r="M27" s="129">
        <f t="shared" si="3"/>
        <v>0</v>
      </c>
      <c r="N27" s="547">
        <f t="shared" si="9"/>
        <v>0</v>
      </c>
      <c r="O27" s="130">
        <f t="shared" si="4"/>
        <v>0</v>
      </c>
      <c r="P27" s="131">
        <f t="shared" si="5"/>
        <v>0</v>
      </c>
      <c r="R27" s="481"/>
      <c r="S27" s="482"/>
      <c r="T27" s="482"/>
      <c r="U27" s="482"/>
      <c r="V27" s="482"/>
      <c r="W27" s="482"/>
      <c r="X27" s="482"/>
      <c r="Y27" s="482"/>
      <c r="Z27" s="482"/>
      <c r="AA27" s="482"/>
      <c r="AB27" s="482"/>
      <c r="AC27" s="482"/>
      <c r="AD27" s="482"/>
      <c r="AE27" s="482"/>
      <c r="AF27" s="482"/>
      <c r="AG27" s="482"/>
      <c r="AH27" s="482"/>
      <c r="AI27" s="482"/>
      <c r="AJ27" s="482"/>
      <c r="AK27" s="482"/>
      <c r="AL27" s="482"/>
      <c r="AM27" s="482"/>
      <c r="AN27" s="482"/>
      <c r="AO27" s="482"/>
      <c r="AP27" s="482"/>
      <c r="AQ27" s="482"/>
      <c r="AR27" s="482"/>
      <c r="AS27" s="482"/>
      <c r="AT27" s="482"/>
      <c r="AU27" s="482"/>
      <c r="AV27" s="482"/>
      <c r="AW27" s="483"/>
      <c r="AX27" s="484">
        <f t="shared" si="10"/>
        <v>0</v>
      </c>
      <c r="AY27" s="501" t="str">
        <f t="shared" si="6"/>
        <v/>
      </c>
      <c r="AZ27" s="488">
        <f t="shared" si="7"/>
        <v>0</v>
      </c>
    </row>
    <row r="28" spans="1:52" s="57" customFormat="1" ht="24.9" customHeight="1" x14ac:dyDescent="0.25">
      <c r="A28" s="588" t="s">
        <v>991</v>
      </c>
      <c r="B28" s="97" t="s">
        <v>279</v>
      </c>
      <c r="C28" s="303"/>
      <c r="D28" s="304" t="s">
        <v>105</v>
      </c>
      <c r="E28" s="305" t="s">
        <v>916</v>
      </c>
      <c r="F28" s="228" t="s">
        <v>683</v>
      </c>
      <c r="G28" s="307">
        <v>8.44</v>
      </c>
      <c r="H28" s="97" t="str">
        <f>VLOOKUP($F28,'Leistungswerte UHR Kigas'!$C$6:$F$27,3,FALSE)</f>
        <v>W5</v>
      </c>
      <c r="I28" s="98">
        <f>VLOOKUP(H28,Turnus!$H$9:$I$26,2,FALSE)</f>
        <v>230</v>
      </c>
      <c r="J28" s="127">
        <f t="shared" si="2"/>
        <v>1941.1999999999998</v>
      </c>
      <c r="K28" s="128">
        <f>VLOOKUP($F28,'Leistungswerte UHR Kigas'!$C$6:$F$27,4,FALSE)</f>
        <v>0</v>
      </c>
      <c r="L28" s="496" t="str">
        <f t="shared" si="8"/>
        <v/>
      </c>
      <c r="M28" s="129">
        <f t="shared" si="3"/>
        <v>0</v>
      </c>
      <c r="N28" s="547">
        <f t="shared" si="9"/>
        <v>0</v>
      </c>
      <c r="O28" s="130">
        <f t="shared" si="4"/>
        <v>0</v>
      </c>
      <c r="P28" s="131">
        <f t="shared" si="5"/>
        <v>0</v>
      </c>
      <c r="R28" s="481"/>
      <c r="S28" s="482"/>
      <c r="T28" s="482"/>
      <c r="U28" s="482"/>
      <c r="V28" s="482"/>
      <c r="W28" s="482"/>
      <c r="X28" s="482"/>
      <c r="Y28" s="482"/>
      <c r="Z28" s="482"/>
      <c r="AA28" s="482"/>
      <c r="AB28" s="482"/>
      <c r="AC28" s="482"/>
      <c r="AD28" s="482"/>
      <c r="AE28" s="482"/>
      <c r="AF28" s="482"/>
      <c r="AG28" s="482"/>
      <c r="AH28" s="482"/>
      <c r="AI28" s="482"/>
      <c r="AJ28" s="482"/>
      <c r="AK28" s="482"/>
      <c r="AL28" s="482"/>
      <c r="AM28" s="482"/>
      <c r="AN28" s="482"/>
      <c r="AO28" s="482"/>
      <c r="AP28" s="482"/>
      <c r="AQ28" s="482"/>
      <c r="AR28" s="482"/>
      <c r="AS28" s="482"/>
      <c r="AT28" s="482"/>
      <c r="AU28" s="482"/>
      <c r="AV28" s="482"/>
      <c r="AW28" s="483"/>
      <c r="AX28" s="484">
        <f t="shared" si="10"/>
        <v>0</v>
      </c>
      <c r="AY28" s="501" t="str">
        <f t="shared" si="6"/>
        <v/>
      </c>
      <c r="AZ28" s="488">
        <f t="shared" si="7"/>
        <v>0</v>
      </c>
    </row>
    <row r="29" spans="1:52" s="57" customFormat="1" ht="24.9" customHeight="1" x14ac:dyDescent="0.25">
      <c r="A29" s="588" t="s">
        <v>991</v>
      </c>
      <c r="B29" s="97" t="s">
        <v>279</v>
      </c>
      <c r="C29" s="303"/>
      <c r="D29" s="312" t="s">
        <v>164</v>
      </c>
      <c r="E29" s="305" t="s">
        <v>905</v>
      </c>
      <c r="F29" s="228" t="s">
        <v>894</v>
      </c>
      <c r="G29" s="307">
        <v>17.559999999999999</v>
      </c>
      <c r="H29" s="97" t="str">
        <f>VLOOKUP($F29,'Leistungswerte UHR Kigas'!$C$6:$F$27,3,FALSE)</f>
        <v>W5</v>
      </c>
      <c r="I29" s="98">
        <f>VLOOKUP(H29,Turnus!$H$9:$I$26,2,FALSE)</f>
        <v>230</v>
      </c>
      <c r="J29" s="127">
        <f t="shared" si="2"/>
        <v>4038.7999999999997</v>
      </c>
      <c r="K29" s="128">
        <f>VLOOKUP($F29,'Leistungswerte UHR Kigas'!$C$6:$F$27,4,FALSE)</f>
        <v>0</v>
      </c>
      <c r="L29" s="496" t="str">
        <f t="shared" si="8"/>
        <v/>
      </c>
      <c r="M29" s="129">
        <f t="shared" si="3"/>
        <v>0</v>
      </c>
      <c r="N29" s="547">
        <f t="shared" si="9"/>
        <v>0</v>
      </c>
      <c r="O29" s="130">
        <f t="shared" si="4"/>
        <v>0</v>
      </c>
      <c r="P29" s="131">
        <f t="shared" si="5"/>
        <v>0</v>
      </c>
      <c r="Q29" s="309"/>
      <c r="R29" s="481"/>
      <c r="S29" s="482"/>
      <c r="T29" s="482"/>
      <c r="U29" s="482"/>
      <c r="V29" s="482"/>
      <c r="W29" s="482"/>
      <c r="X29" s="482"/>
      <c r="Y29" s="482"/>
      <c r="Z29" s="482"/>
      <c r="AA29" s="482"/>
      <c r="AB29" s="482"/>
      <c r="AC29" s="482"/>
      <c r="AD29" s="482"/>
      <c r="AE29" s="482"/>
      <c r="AF29" s="482"/>
      <c r="AG29" s="482"/>
      <c r="AH29" s="482"/>
      <c r="AI29" s="482"/>
      <c r="AJ29" s="482"/>
      <c r="AK29" s="482"/>
      <c r="AL29" s="482"/>
      <c r="AM29" s="482"/>
      <c r="AN29" s="482"/>
      <c r="AO29" s="482"/>
      <c r="AP29" s="482"/>
      <c r="AQ29" s="482"/>
      <c r="AR29" s="482"/>
      <c r="AS29" s="482"/>
      <c r="AT29" s="482"/>
      <c r="AU29" s="482"/>
      <c r="AV29" s="482"/>
      <c r="AW29" s="483"/>
      <c r="AX29" s="484">
        <f t="shared" si="10"/>
        <v>0</v>
      </c>
      <c r="AY29" s="501" t="str">
        <f t="shared" si="6"/>
        <v/>
      </c>
      <c r="AZ29" s="488">
        <f t="shared" si="7"/>
        <v>0</v>
      </c>
    </row>
    <row r="30" spans="1:52" s="57" customFormat="1" ht="24.9" customHeight="1" x14ac:dyDescent="0.25">
      <c r="A30" s="588" t="s">
        <v>991</v>
      </c>
      <c r="B30" s="97" t="s">
        <v>111</v>
      </c>
      <c r="C30" s="303"/>
      <c r="D30" s="304" t="s">
        <v>246</v>
      </c>
      <c r="E30" s="306" t="s">
        <v>917</v>
      </c>
      <c r="F30" s="228" t="s">
        <v>750</v>
      </c>
      <c r="G30" s="307">
        <v>6.8</v>
      </c>
      <c r="H30" s="97" t="str">
        <f>VLOOKUP($F30,'Leistungswerte UHR Kigas'!$C$6:$F$27,3,FALSE)</f>
        <v>W5</v>
      </c>
      <c r="I30" s="98">
        <f>VLOOKUP(H30,Turnus!$H$9:$I$26,2,FALSE)</f>
        <v>230</v>
      </c>
      <c r="J30" s="127">
        <f t="shared" si="2"/>
        <v>1564</v>
      </c>
      <c r="K30" s="128">
        <f>VLOOKUP($F30,'Leistungswerte UHR Kigas'!$C$6:$F$27,4,FALSE)</f>
        <v>0</v>
      </c>
      <c r="L30" s="496" t="str">
        <f t="shared" si="8"/>
        <v/>
      </c>
      <c r="M30" s="129">
        <f t="shared" si="3"/>
        <v>0</v>
      </c>
      <c r="N30" s="547">
        <f t="shared" si="9"/>
        <v>0</v>
      </c>
      <c r="O30" s="130">
        <f t="shared" si="4"/>
        <v>0</v>
      </c>
      <c r="P30" s="131">
        <f t="shared" si="5"/>
        <v>0</v>
      </c>
      <c r="R30" s="481"/>
      <c r="S30" s="482"/>
      <c r="T30" s="482"/>
      <c r="U30" s="482"/>
      <c r="V30" s="482"/>
      <c r="W30" s="482"/>
      <c r="X30" s="482"/>
      <c r="Y30" s="482"/>
      <c r="Z30" s="482"/>
      <c r="AA30" s="482"/>
      <c r="AB30" s="482"/>
      <c r="AC30" s="482"/>
      <c r="AD30" s="482"/>
      <c r="AE30" s="482"/>
      <c r="AF30" s="482"/>
      <c r="AG30" s="482"/>
      <c r="AH30" s="482"/>
      <c r="AI30" s="482"/>
      <c r="AJ30" s="482"/>
      <c r="AK30" s="482"/>
      <c r="AL30" s="482"/>
      <c r="AM30" s="482"/>
      <c r="AN30" s="482"/>
      <c r="AO30" s="482"/>
      <c r="AP30" s="482"/>
      <c r="AQ30" s="482"/>
      <c r="AR30" s="482"/>
      <c r="AS30" s="482"/>
      <c r="AT30" s="482"/>
      <c r="AU30" s="482"/>
      <c r="AV30" s="482"/>
      <c r="AW30" s="483"/>
      <c r="AX30" s="484">
        <f t="shared" si="10"/>
        <v>0</v>
      </c>
      <c r="AY30" s="501" t="str">
        <f t="shared" si="6"/>
        <v/>
      </c>
      <c r="AZ30" s="488">
        <f t="shared" si="7"/>
        <v>0</v>
      </c>
    </row>
    <row r="31" spans="1:52" s="57" customFormat="1" ht="24.9" customHeight="1" x14ac:dyDescent="0.25">
      <c r="A31" s="588" t="s">
        <v>991</v>
      </c>
      <c r="B31" s="97" t="s">
        <v>111</v>
      </c>
      <c r="C31" s="303"/>
      <c r="D31" s="228" t="s">
        <v>167</v>
      </c>
      <c r="E31" s="305" t="s">
        <v>916</v>
      </c>
      <c r="F31" s="228" t="s">
        <v>678</v>
      </c>
      <c r="G31" s="307">
        <v>45.36</v>
      </c>
      <c r="H31" s="97" t="str">
        <f>VLOOKUP($F31,'Leistungswerte UHR Kigas'!$C$6:$F$27,3,FALSE)</f>
        <v>W5</v>
      </c>
      <c r="I31" s="98">
        <f>VLOOKUP(H31,Turnus!$H$9:$I$26,2,FALSE)</f>
        <v>230</v>
      </c>
      <c r="J31" s="127">
        <f t="shared" si="2"/>
        <v>10432.799999999999</v>
      </c>
      <c r="K31" s="128">
        <f>VLOOKUP($F31,'Leistungswerte UHR Kigas'!$C$6:$F$27,4,FALSE)</f>
        <v>0</v>
      </c>
      <c r="L31" s="496" t="str">
        <f t="shared" si="8"/>
        <v/>
      </c>
      <c r="M31" s="129">
        <f t="shared" si="3"/>
        <v>0</v>
      </c>
      <c r="N31" s="547">
        <f t="shared" si="9"/>
        <v>0</v>
      </c>
      <c r="O31" s="130">
        <f t="shared" si="4"/>
        <v>0</v>
      </c>
      <c r="P31" s="131">
        <f t="shared" si="5"/>
        <v>0</v>
      </c>
      <c r="R31" s="481"/>
      <c r="S31" s="482"/>
      <c r="T31" s="482"/>
      <c r="U31" s="482"/>
      <c r="V31" s="482"/>
      <c r="W31" s="482"/>
      <c r="X31" s="482"/>
      <c r="Y31" s="482"/>
      <c r="Z31" s="482"/>
      <c r="AA31" s="482"/>
      <c r="AB31" s="482"/>
      <c r="AC31" s="482"/>
      <c r="AD31" s="482"/>
      <c r="AE31" s="482"/>
      <c r="AF31" s="482"/>
      <c r="AG31" s="482"/>
      <c r="AH31" s="482"/>
      <c r="AI31" s="482"/>
      <c r="AJ31" s="482"/>
      <c r="AK31" s="482"/>
      <c r="AL31" s="482"/>
      <c r="AM31" s="482"/>
      <c r="AN31" s="482"/>
      <c r="AO31" s="482"/>
      <c r="AP31" s="482"/>
      <c r="AQ31" s="482"/>
      <c r="AR31" s="482"/>
      <c r="AS31" s="482"/>
      <c r="AT31" s="482"/>
      <c r="AU31" s="482"/>
      <c r="AV31" s="482"/>
      <c r="AW31" s="483"/>
      <c r="AX31" s="484">
        <f t="shared" si="10"/>
        <v>0</v>
      </c>
      <c r="AY31" s="501" t="str">
        <f t="shared" si="6"/>
        <v/>
      </c>
      <c r="AZ31" s="488">
        <f t="shared" si="7"/>
        <v>0</v>
      </c>
    </row>
    <row r="32" spans="1:52" s="57" customFormat="1" ht="24.9" customHeight="1" x14ac:dyDescent="0.25">
      <c r="A32" s="588" t="s">
        <v>991</v>
      </c>
      <c r="B32" s="97" t="s">
        <v>111</v>
      </c>
      <c r="C32" s="303"/>
      <c r="D32" s="304" t="s">
        <v>277</v>
      </c>
      <c r="E32" s="305" t="s">
        <v>916</v>
      </c>
      <c r="F32" s="228" t="s">
        <v>676</v>
      </c>
      <c r="G32" s="307">
        <v>11.18</v>
      </c>
      <c r="H32" s="97" t="str">
        <f>VLOOKUP($F32,'Leistungswerte UHR Kigas'!$C$6:$F$27,3,FALSE)</f>
        <v>W5</v>
      </c>
      <c r="I32" s="98">
        <f>VLOOKUP(H32,Turnus!$H$9:$I$26,2,FALSE)</f>
        <v>230</v>
      </c>
      <c r="J32" s="127">
        <f t="shared" si="2"/>
        <v>2571.4</v>
      </c>
      <c r="K32" s="128">
        <f>VLOOKUP($F32,'Leistungswerte UHR Kigas'!$C$6:$F$27,4,FALSE)</f>
        <v>0</v>
      </c>
      <c r="L32" s="496" t="str">
        <f t="shared" si="8"/>
        <v/>
      </c>
      <c r="M32" s="129">
        <f t="shared" si="3"/>
        <v>0</v>
      </c>
      <c r="N32" s="547">
        <f t="shared" si="9"/>
        <v>0</v>
      </c>
      <c r="O32" s="130">
        <f t="shared" si="4"/>
        <v>0</v>
      </c>
      <c r="P32" s="131">
        <f t="shared" si="5"/>
        <v>0</v>
      </c>
      <c r="R32" s="481"/>
      <c r="S32" s="482"/>
      <c r="T32" s="482"/>
      <c r="U32" s="482"/>
      <c r="V32" s="482"/>
      <c r="W32" s="482"/>
      <c r="X32" s="482"/>
      <c r="Y32" s="482"/>
      <c r="Z32" s="482"/>
      <c r="AA32" s="482"/>
      <c r="AB32" s="482"/>
      <c r="AC32" s="482"/>
      <c r="AD32" s="482"/>
      <c r="AE32" s="482"/>
      <c r="AF32" s="482"/>
      <c r="AG32" s="482"/>
      <c r="AH32" s="482"/>
      <c r="AI32" s="482"/>
      <c r="AJ32" s="482"/>
      <c r="AK32" s="482"/>
      <c r="AL32" s="482"/>
      <c r="AM32" s="482"/>
      <c r="AN32" s="482"/>
      <c r="AO32" s="482"/>
      <c r="AP32" s="482"/>
      <c r="AQ32" s="482"/>
      <c r="AR32" s="482"/>
      <c r="AS32" s="482"/>
      <c r="AT32" s="482"/>
      <c r="AU32" s="482"/>
      <c r="AV32" s="482"/>
      <c r="AW32" s="483"/>
      <c r="AX32" s="484">
        <f t="shared" si="10"/>
        <v>0</v>
      </c>
      <c r="AY32" s="501" t="str">
        <f t="shared" si="6"/>
        <v/>
      </c>
      <c r="AZ32" s="488">
        <f t="shared" si="7"/>
        <v>0</v>
      </c>
    </row>
    <row r="33" spans="1:52" s="57" customFormat="1" ht="24.9" customHeight="1" x14ac:dyDescent="0.25">
      <c r="A33" s="588" t="s">
        <v>991</v>
      </c>
      <c r="B33" s="97" t="s">
        <v>111</v>
      </c>
      <c r="C33" s="303"/>
      <c r="D33" s="304" t="s">
        <v>278</v>
      </c>
      <c r="E33" s="305" t="s">
        <v>916</v>
      </c>
      <c r="F33" s="228" t="s">
        <v>676</v>
      </c>
      <c r="G33" s="307">
        <v>23.99</v>
      </c>
      <c r="H33" s="97" t="str">
        <f>VLOOKUP($F33,'Leistungswerte UHR Kigas'!$C$6:$F$27,3,FALSE)</f>
        <v>W5</v>
      </c>
      <c r="I33" s="98">
        <f>VLOOKUP(H33,Turnus!$H$9:$I$26,2,FALSE)</f>
        <v>230</v>
      </c>
      <c r="J33" s="127">
        <f t="shared" si="2"/>
        <v>5517.7</v>
      </c>
      <c r="K33" s="128">
        <f>VLOOKUP($F33,'Leistungswerte UHR Kigas'!$C$6:$F$27,4,FALSE)</f>
        <v>0</v>
      </c>
      <c r="L33" s="496" t="str">
        <f t="shared" si="8"/>
        <v/>
      </c>
      <c r="M33" s="129">
        <f t="shared" si="3"/>
        <v>0</v>
      </c>
      <c r="N33" s="547">
        <f t="shared" si="9"/>
        <v>0</v>
      </c>
      <c r="O33" s="130">
        <f t="shared" si="4"/>
        <v>0</v>
      </c>
      <c r="P33" s="131">
        <f t="shared" si="5"/>
        <v>0</v>
      </c>
      <c r="R33" s="481"/>
      <c r="S33" s="482"/>
      <c r="T33" s="482"/>
      <c r="U33" s="482"/>
      <c r="V33" s="482"/>
      <c r="W33" s="482"/>
      <c r="X33" s="482"/>
      <c r="Y33" s="482"/>
      <c r="Z33" s="482"/>
      <c r="AA33" s="482"/>
      <c r="AB33" s="482"/>
      <c r="AC33" s="482"/>
      <c r="AD33" s="482"/>
      <c r="AE33" s="482"/>
      <c r="AF33" s="482"/>
      <c r="AG33" s="482"/>
      <c r="AH33" s="482"/>
      <c r="AI33" s="482"/>
      <c r="AJ33" s="482"/>
      <c r="AK33" s="482"/>
      <c r="AL33" s="482"/>
      <c r="AM33" s="482"/>
      <c r="AN33" s="482"/>
      <c r="AO33" s="482"/>
      <c r="AP33" s="482"/>
      <c r="AQ33" s="482"/>
      <c r="AR33" s="482"/>
      <c r="AS33" s="482"/>
      <c r="AT33" s="482"/>
      <c r="AU33" s="482"/>
      <c r="AV33" s="482"/>
      <c r="AW33" s="483"/>
      <c r="AX33" s="484">
        <f t="shared" si="10"/>
        <v>0</v>
      </c>
      <c r="AY33" s="501" t="str">
        <f t="shared" si="6"/>
        <v/>
      </c>
      <c r="AZ33" s="488">
        <f t="shared" si="7"/>
        <v>0</v>
      </c>
    </row>
    <row r="34" spans="1:52" s="57" customFormat="1" ht="24.9" customHeight="1" x14ac:dyDescent="0.25">
      <c r="A34" s="588" t="s">
        <v>991</v>
      </c>
      <c r="B34" s="97" t="s">
        <v>111</v>
      </c>
      <c r="C34" s="303"/>
      <c r="D34" s="228" t="s">
        <v>645</v>
      </c>
      <c r="E34" s="305" t="s">
        <v>916</v>
      </c>
      <c r="F34" s="228" t="s">
        <v>676</v>
      </c>
      <c r="G34" s="307">
        <v>9.81</v>
      </c>
      <c r="H34" s="97" t="str">
        <f>VLOOKUP($F34,'Leistungswerte UHR Kigas'!$C$6:$F$27,3,FALSE)</f>
        <v>W5</v>
      </c>
      <c r="I34" s="98">
        <f>VLOOKUP(H34,Turnus!$H$9:$I$26,2,FALSE)</f>
        <v>230</v>
      </c>
      <c r="J34" s="127">
        <f t="shared" si="2"/>
        <v>2256.3000000000002</v>
      </c>
      <c r="K34" s="128">
        <f>VLOOKUP($F34,'Leistungswerte UHR Kigas'!$C$6:$F$27,4,FALSE)</f>
        <v>0</v>
      </c>
      <c r="L34" s="496" t="str">
        <f t="shared" si="8"/>
        <v/>
      </c>
      <c r="M34" s="129">
        <f t="shared" si="3"/>
        <v>0</v>
      </c>
      <c r="N34" s="547">
        <f t="shared" si="9"/>
        <v>0</v>
      </c>
      <c r="O34" s="130">
        <f t="shared" si="4"/>
        <v>0</v>
      </c>
      <c r="P34" s="131">
        <f t="shared" si="5"/>
        <v>0</v>
      </c>
      <c r="R34" s="481"/>
      <c r="S34" s="482"/>
      <c r="T34" s="482"/>
      <c r="U34" s="482"/>
      <c r="V34" s="482"/>
      <c r="W34" s="482"/>
      <c r="X34" s="482"/>
      <c r="Y34" s="482"/>
      <c r="Z34" s="482"/>
      <c r="AA34" s="482"/>
      <c r="AB34" s="482"/>
      <c r="AC34" s="482"/>
      <c r="AD34" s="482"/>
      <c r="AE34" s="482"/>
      <c r="AF34" s="482"/>
      <c r="AG34" s="482"/>
      <c r="AH34" s="482"/>
      <c r="AI34" s="482"/>
      <c r="AJ34" s="482"/>
      <c r="AK34" s="482"/>
      <c r="AL34" s="482"/>
      <c r="AM34" s="482"/>
      <c r="AN34" s="482"/>
      <c r="AO34" s="482"/>
      <c r="AP34" s="482"/>
      <c r="AQ34" s="482"/>
      <c r="AR34" s="482"/>
      <c r="AS34" s="482"/>
      <c r="AT34" s="482"/>
      <c r="AU34" s="482"/>
      <c r="AV34" s="482"/>
      <c r="AW34" s="483"/>
      <c r="AX34" s="484">
        <f t="shared" si="10"/>
        <v>0</v>
      </c>
      <c r="AY34" s="501" t="str">
        <f t="shared" si="6"/>
        <v/>
      </c>
      <c r="AZ34" s="488">
        <f t="shared" si="7"/>
        <v>0</v>
      </c>
    </row>
    <row r="35" spans="1:52" s="57" customFormat="1" ht="24.9" customHeight="1" x14ac:dyDescent="0.25">
      <c r="A35" s="588" t="s">
        <v>991</v>
      </c>
      <c r="B35" s="97" t="s">
        <v>111</v>
      </c>
      <c r="C35" s="303"/>
      <c r="D35" s="304" t="s">
        <v>646</v>
      </c>
      <c r="E35" s="305" t="s">
        <v>916</v>
      </c>
      <c r="F35" s="228" t="s">
        <v>676</v>
      </c>
      <c r="G35" s="307">
        <v>4.9000000000000004</v>
      </c>
      <c r="H35" s="97" t="str">
        <f>VLOOKUP($F35,'Leistungswerte UHR Kigas'!$C$6:$F$27,3,FALSE)</f>
        <v>W5</v>
      </c>
      <c r="I35" s="98">
        <f>VLOOKUP(H35,Turnus!$H$9:$I$26,2,FALSE)</f>
        <v>230</v>
      </c>
      <c r="J35" s="127">
        <f t="shared" si="2"/>
        <v>1127</v>
      </c>
      <c r="K35" s="128">
        <f>VLOOKUP($F35,'Leistungswerte UHR Kigas'!$C$6:$F$27,4,FALSE)</f>
        <v>0</v>
      </c>
      <c r="L35" s="496" t="str">
        <f t="shared" si="8"/>
        <v/>
      </c>
      <c r="M35" s="129">
        <f t="shared" si="3"/>
        <v>0</v>
      </c>
      <c r="N35" s="547">
        <f t="shared" si="9"/>
        <v>0</v>
      </c>
      <c r="O35" s="130">
        <f t="shared" si="4"/>
        <v>0</v>
      </c>
      <c r="P35" s="131">
        <f t="shared" si="5"/>
        <v>0</v>
      </c>
      <c r="R35" s="481"/>
      <c r="S35" s="482"/>
      <c r="T35" s="482"/>
      <c r="U35" s="482"/>
      <c r="V35" s="482"/>
      <c r="W35" s="482"/>
      <c r="X35" s="482"/>
      <c r="Y35" s="482"/>
      <c r="Z35" s="482"/>
      <c r="AA35" s="482"/>
      <c r="AB35" s="482"/>
      <c r="AC35" s="482"/>
      <c r="AD35" s="482"/>
      <c r="AE35" s="482"/>
      <c r="AF35" s="482"/>
      <c r="AG35" s="482"/>
      <c r="AH35" s="482"/>
      <c r="AI35" s="482"/>
      <c r="AJ35" s="482"/>
      <c r="AK35" s="482"/>
      <c r="AL35" s="482"/>
      <c r="AM35" s="482"/>
      <c r="AN35" s="482"/>
      <c r="AO35" s="482"/>
      <c r="AP35" s="482"/>
      <c r="AQ35" s="482"/>
      <c r="AR35" s="482"/>
      <c r="AS35" s="482"/>
      <c r="AT35" s="482"/>
      <c r="AU35" s="482"/>
      <c r="AV35" s="482"/>
      <c r="AW35" s="483"/>
      <c r="AX35" s="484">
        <f t="shared" si="10"/>
        <v>0</v>
      </c>
      <c r="AY35" s="501" t="str">
        <f t="shared" si="6"/>
        <v/>
      </c>
      <c r="AZ35" s="488">
        <f t="shared" si="7"/>
        <v>0</v>
      </c>
    </row>
    <row r="36" spans="1:52" s="57" customFormat="1" ht="24.9" customHeight="1" x14ac:dyDescent="0.25">
      <c r="A36" s="588" t="s">
        <v>991</v>
      </c>
      <c r="B36" s="97" t="s">
        <v>111</v>
      </c>
      <c r="C36" s="303"/>
      <c r="D36" s="304" t="s">
        <v>647</v>
      </c>
      <c r="E36" s="306" t="s">
        <v>917</v>
      </c>
      <c r="F36" s="228" t="s">
        <v>676</v>
      </c>
      <c r="G36" s="307">
        <v>11.31</v>
      </c>
      <c r="H36" s="97" t="str">
        <f>VLOOKUP($F36,'Leistungswerte UHR Kigas'!$C$6:$F$27,3,FALSE)</f>
        <v>W5</v>
      </c>
      <c r="I36" s="98">
        <f>VLOOKUP(H36,Turnus!$H$9:$I$26,2,FALSE)</f>
        <v>230</v>
      </c>
      <c r="J36" s="127">
        <f t="shared" si="2"/>
        <v>2601.3000000000002</v>
      </c>
      <c r="K36" s="128">
        <f>VLOOKUP($F36,'Leistungswerte UHR Kigas'!$C$6:$F$27,4,FALSE)</f>
        <v>0</v>
      </c>
      <c r="L36" s="496" t="str">
        <f t="shared" si="8"/>
        <v/>
      </c>
      <c r="M36" s="129">
        <f t="shared" si="3"/>
        <v>0</v>
      </c>
      <c r="N36" s="547">
        <f t="shared" si="9"/>
        <v>0</v>
      </c>
      <c r="O36" s="130">
        <f t="shared" si="4"/>
        <v>0</v>
      </c>
      <c r="P36" s="131">
        <f t="shared" si="5"/>
        <v>0</v>
      </c>
      <c r="R36" s="481"/>
      <c r="S36" s="482"/>
      <c r="T36" s="482"/>
      <c r="U36" s="482"/>
      <c r="V36" s="482"/>
      <c r="W36" s="482"/>
      <c r="X36" s="482"/>
      <c r="Y36" s="482"/>
      <c r="Z36" s="482"/>
      <c r="AA36" s="482"/>
      <c r="AB36" s="482"/>
      <c r="AC36" s="482"/>
      <c r="AD36" s="482"/>
      <c r="AE36" s="482"/>
      <c r="AF36" s="482"/>
      <c r="AG36" s="482"/>
      <c r="AH36" s="482"/>
      <c r="AI36" s="482"/>
      <c r="AJ36" s="482"/>
      <c r="AK36" s="482"/>
      <c r="AL36" s="482"/>
      <c r="AM36" s="482"/>
      <c r="AN36" s="482"/>
      <c r="AO36" s="482"/>
      <c r="AP36" s="482"/>
      <c r="AQ36" s="482"/>
      <c r="AR36" s="482"/>
      <c r="AS36" s="482"/>
      <c r="AT36" s="482"/>
      <c r="AU36" s="482"/>
      <c r="AV36" s="482"/>
      <c r="AW36" s="483"/>
      <c r="AX36" s="484">
        <f t="shared" si="10"/>
        <v>0</v>
      </c>
      <c r="AY36" s="501" t="str">
        <f t="shared" si="6"/>
        <v/>
      </c>
      <c r="AZ36" s="488">
        <f t="shared" si="7"/>
        <v>0</v>
      </c>
    </row>
    <row r="37" spans="1:52" s="57" customFormat="1" ht="24.9" customHeight="1" x14ac:dyDescent="0.25">
      <c r="A37" s="588" t="s">
        <v>991</v>
      </c>
      <c r="B37" s="97" t="s">
        <v>111</v>
      </c>
      <c r="C37" s="303"/>
      <c r="D37" s="304" t="s">
        <v>703</v>
      </c>
      <c r="E37" s="305" t="s">
        <v>916</v>
      </c>
      <c r="F37" s="228" t="s">
        <v>676</v>
      </c>
      <c r="G37" s="307">
        <v>9.5299999999999994</v>
      </c>
      <c r="H37" s="97" t="str">
        <f>VLOOKUP($F37,'Leistungswerte UHR Kigas'!$C$6:$F$27,3,FALSE)</f>
        <v>W5</v>
      </c>
      <c r="I37" s="98">
        <f>VLOOKUP(H37,Turnus!$H$9:$I$26,2,FALSE)</f>
        <v>230</v>
      </c>
      <c r="J37" s="127">
        <f t="shared" ref="J37" si="23">+G37*I37</f>
        <v>2191.8999999999996</v>
      </c>
      <c r="K37" s="128">
        <f>VLOOKUP($F37,'Leistungswerte UHR Kigas'!$C$6:$F$27,4,FALSE)</f>
        <v>0</v>
      </c>
      <c r="L37" s="496" t="str">
        <f t="shared" si="8"/>
        <v/>
      </c>
      <c r="M37" s="129">
        <f t="shared" ref="M37" si="24">IF(ISERROR(J37/K37),0,J37/K37)</f>
        <v>0</v>
      </c>
      <c r="N37" s="547">
        <f t="shared" si="9"/>
        <v>0</v>
      </c>
      <c r="O37" s="130">
        <f t="shared" ref="O37" si="25">IF(ISERROR(G37/K37*N37),0,G37/K37*N37)</f>
        <v>0</v>
      </c>
      <c r="P37" s="131">
        <f t="shared" si="5"/>
        <v>0</v>
      </c>
      <c r="R37" s="481"/>
      <c r="S37" s="482"/>
      <c r="T37" s="482"/>
      <c r="U37" s="482"/>
      <c r="V37" s="482"/>
      <c r="W37" s="482"/>
      <c r="X37" s="482"/>
      <c r="Y37" s="482"/>
      <c r="Z37" s="482"/>
      <c r="AA37" s="482"/>
      <c r="AB37" s="482"/>
      <c r="AC37" s="482"/>
      <c r="AD37" s="482"/>
      <c r="AE37" s="482"/>
      <c r="AF37" s="482"/>
      <c r="AG37" s="482"/>
      <c r="AH37" s="482"/>
      <c r="AI37" s="482"/>
      <c r="AJ37" s="482"/>
      <c r="AK37" s="482"/>
      <c r="AL37" s="482"/>
      <c r="AM37" s="482"/>
      <c r="AN37" s="482"/>
      <c r="AO37" s="482"/>
      <c r="AP37" s="482"/>
      <c r="AQ37" s="482"/>
      <c r="AR37" s="482"/>
      <c r="AS37" s="482"/>
      <c r="AT37" s="482"/>
      <c r="AU37" s="482"/>
      <c r="AV37" s="482"/>
      <c r="AW37" s="483"/>
      <c r="AX37" s="484">
        <f t="shared" si="10"/>
        <v>0</v>
      </c>
      <c r="AY37" s="501" t="str">
        <f t="shared" si="6"/>
        <v/>
      </c>
      <c r="AZ37" s="488">
        <f t="shared" si="7"/>
        <v>0</v>
      </c>
    </row>
    <row r="38" spans="1:52" s="57" customFormat="1" ht="24.9" customHeight="1" x14ac:dyDescent="0.25">
      <c r="A38" s="588" t="s">
        <v>991</v>
      </c>
      <c r="B38" s="97" t="s">
        <v>111</v>
      </c>
      <c r="C38" s="303"/>
      <c r="D38" s="304" t="s">
        <v>621</v>
      </c>
      <c r="E38" s="305" t="s">
        <v>916</v>
      </c>
      <c r="F38" s="228" t="s">
        <v>674</v>
      </c>
      <c r="G38" s="307">
        <v>16</v>
      </c>
      <c r="H38" s="97" t="str">
        <f>VLOOKUP($F38,'Leistungswerte UHR Kigas'!$C$6:$F$27,3,FALSE)</f>
        <v>W5</v>
      </c>
      <c r="I38" s="98">
        <f>VLOOKUP(H38,Turnus!$H$9:$I$26,2,FALSE)</f>
        <v>230</v>
      </c>
      <c r="J38" s="127">
        <f t="shared" si="2"/>
        <v>3680</v>
      </c>
      <c r="K38" s="128">
        <f>VLOOKUP($F38,'Leistungswerte UHR Kigas'!$C$6:$F$27,4,FALSE)</f>
        <v>0</v>
      </c>
      <c r="L38" s="496" t="str">
        <f t="shared" si="8"/>
        <v/>
      </c>
      <c r="M38" s="129">
        <f t="shared" si="3"/>
        <v>0</v>
      </c>
      <c r="N38" s="547">
        <f t="shared" si="9"/>
        <v>0</v>
      </c>
      <c r="O38" s="130">
        <f t="shared" si="4"/>
        <v>0</v>
      </c>
      <c r="P38" s="131">
        <f t="shared" si="5"/>
        <v>0</v>
      </c>
      <c r="R38" s="481"/>
      <c r="S38" s="482"/>
      <c r="T38" s="482"/>
      <c r="U38" s="482"/>
      <c r="V38" s="482"/>
      <c r="W38" s="482"/>
      <c r="X38" s="482"/>
      <c r="Y38" s="482"/>
      <c r="Z38" s="482"/>
      <c r="AA38" s="482"/>
      <c r="AB38" s="482"/>
      <c r="AC38" s="482"/>
      <c r="AD38" s="482"/>
      <c r="AE38" s="482"/>
      <c r="AF38" s="482"/>
      <c r="AG38" s="482"/>
      <c r="AH38" s="482"/>
      <c r="AI38" s="482"/>
      <c r="AJ38" s="482"/>
      <c r="AK38" s="482"/>
      <c r="AL38" s="482"/>
      <c r="AM38" s="482"/>
      <c r="AN38" s="482"/>
      <c r="AO38" s="482"/>
      <c r="AP38" s="482"/>
      <c r="AQ38" s="482"/>
      <c r="AR38" s="482"/>
      <c r="AS38" s="482"/>
      <c r="AT38" s="482"/>
      <c r="AU38" s="482"/>
      <c r="AV38" s="482"/>
      <c r="AW38" s="483"/>
      <c r="AX38" s="484">
        <f t="shared" si="10"/>
        <v>0</v>
      </c>
      <c r="AY38" s="501" t="str">
        <f t="shared" si="6"/>
        <v/>
      </c>
      <c r="AZ38" s="488">
        <f t="shared" si="7"/>
        <v>0</v>
      </c>
    </row>
    <row r="39" spans="1:52" s="57" customFormat="1" ht="24.9" customHeight="1" x14ac:dyDescent="0.25">
      <c r="A39" s="588" t="s">
        <v>991</v>
      </c>
      <c r="B39" s="97" t="s">
        <v>111</v>
      </c>
      <c r="C39" s="303"/>
      <c r="D39" s="304" t="s">
        <v>648</v>
      </c>
      <c r="E39" s="305" t="s">
        <v>905</v>
      </c>
      <c r="F39" s="228" t="s">
        <v>669</v>
      </c>
      <c r="G39" s="307">
        <v>19.440000000000001</v>
      </c>
      <c r="H39" s="97" t="str">
        <f>VLOOKUP($F39,'Leistungswerte UHR Kigas'!$C$6:$F$27,3,FALSE)</f>
        <v>W5</v>
      </c>
      <c r="I39" s="98">
        <f>VLOOKUP(H39,Turnus!$H$9:$I$26,2,FALSE)</f>
        <v>230</v>
      </c>
      <c r="J39" s="127">
        <f t="shared" si="2"/>
        <v>4471.2000000000007</v>
      </c>
      <c r="K39" s="128">
        <f>VLOOKUP($F39,'Leistungswerte UHR Kigas'!$C$6:$F$27,4,FALSE)</f>
        <v>0</v>
      </c>
      <c r="L39" s="496" t="str">
        <f t="shared" si="8"/>
        <v/>
      </c>
      <c r="M39" s="129">
        <f t="shared" si="3"/>
        <v>0</v>
      </c>
      <c r="N39" s="547">
        <f t="shared" si="9"/>
        <v>0</v>
      </c>
      <c r="O39" s="130">
        <f t="shared" si="4"/>
        <v>0</v>
      </c>
      <c r="P39" s="131">
        <f t="shared" si="5"/>
        <v>0</v>
      </c>
      <c r="R39" s="481"/>
      <c r="S39" s="482"/>
      <c r="T39" s="482"/>
      <c r="U39" s="482"/>
      <c r="V39" s="482"/>
      <c r="W39" s="482"/>
      <c r="X39" s="482"/>
      <c r="Y39" s="482"/>
      <c r="Z39" s="482"/>
      <c r="AA39" s="482"/>
      <c r="AB39" s="482"/>
      <c r="AC39" s="482"/>
      <c r="AD39" s="482"/>
      <c r="AE39" s="482"/>
      <c r="AF39" s="482"/>
      <c r="AG39" s="482"/>
      <c r="AH39" s="482"/>
      <c r="AI39" s="482"/>
      <c r="AJ39" s="482"/>
      <c r="AK39" s="482"/>
      <c r="AL39" s="482"/>
      <c r="AM39" s="482"/>
      <c r="AN39" s="482"/>
      <c r="AO39" s="482"/>
      <c r="AP39" s="482"/>
      <c r="AQ39" s="482"/>
      <c r="AR39" s="482"/>
      <c r="AS39" s="482"/>
      <c r="AT39" s="482"/>
      <c r="AU39" s="482"/>
      <c r="AV39" s="482"/>
      <c r="AW39" s="483"/>
      <c r="AX39" s="484">
        <f t="shared" si="10"/>
        <v>0</v>
      </c>
      <c r="AY39" s="501" t="str">
        <f t="shared" si="6"/>
        <v/>
      </c>
      <c r="AZ39" s="488">
        <f t="shared" si="7"/>
        <v>0</v>
      </c>
    </row>
    <row r="40" spans="1:52" s="57" customFormat="1" ht="24.9" customHeight="1" x14ac:dyDescent="0.25">
      <c r="A40" s="588" t="s">
        <v>991</v>
      </c>
      <c r="B40" s="97" t="s">
        <v>111</v>
      </c>
      <c r="C40" s="303"/>
      <c r="D40" s="304" t="s">
        <v>628</v>
      </c>
      <c r="E40" s="305" t="s">
        <v>916</v>
      </c>
      <c r="F40" s="228" t="s">
        <v>666</v>
      </c>
      <c r="G40" s="307">
        <v>8.91</v>
      </c>
      <c r="H40" s="97" t="str">
        <f>VLOOKUP($F40,'Leistungswerte UHR Kigas'!$C$6:$F$27,3,FALSE)</f>
        <v>W5</v>
      </c>
      <c r="I40" s="98">
        <f>VLOOKUP(H40,Turnus!$H$9:$I$26,2,FALSE)</f>
        <v>230</v>
      </c>
      <c r="J40" s="127">
        <f t="shared" si="2"/>
        <v>2049.3000000000002</v>
      </c>
      <c r="K40" s="128">
        <f>VLOOKUP($F40,'Leistungswerte UHR Kigas'!$C$6:$F$27,4,FALSE)</f>
        <v>0</v>
      </c>
      <c r="L40" s="496" t="str">
        <f t="shared" si="8"/>
        <v/>
      </c>
      <c r="M40" s="129">
        <f t="shared" si="3"/>
        <v>0</v>
      </c>
      <c r="N40" s="547">
        <f t="shared" si="9"/>
        <v>0</v>
      </c>
      <c r="O40" s="130">
        <f t="shared" si="4"/>
        <v>0</v>
      </c>
      <c r="P40" s="131">
        <f t="shared" ref="P40:P76" si="26">+M40*N40</f>
        <v>0</v>
      </c>
      <c r="R40" s="481"/>
      <c r="S40" s="482"/>
      <c r="T40" s="482"/>
      <c r="U40" s="482"/>
      <c r="V40" s="482"/>
      <c r="W40" s="482"/>
      <c r="X40" s="482"/>
      <c r="Y40" s="482"/>
      <c r="Z40" s="482"/>
      <c r="AA40" s="482"/>
      <c r="AB40" s="482"/>
      <c r="AC40" s="482"/>
      <c r="AD40" s="482"/>
      <c r="AE40" s="482"/>
      <c r="AF40" s="482"/>
      <c r="AG40" s="482"/>
      <c r="AH40" s="482"/>
      <c r="AI40" s="482"/>
      <c r="AJ40" s="482"/>
      <c r="AK40" s="482"/>
      <c r="AL40" s="482"/>
      <c r="AM40" s="482"/>
      <c r="AN40" s="482"/>
      <c r="AO40" s="482"/>
      <c r="AP40" s="482"/>
      <c r="AQ40" s="482"/>
      <c r="AR40" s="482"/>
      <c r="AS40" s="482"/>
      <c r="AT40" s="482"/>
      <c r="AU40" s="482"/>
      <c r="AV40" s="482"/>
      <c r="AW40" s="483"/>
      <c r="AX40" s="484">
        <f t="shared" si="10"/>
        <v>0</v>
      </c>
      <c r="AY40" s="501" t="str">
        <f t="shared" ref="AY40:AY71" si="27">IFERROR(L40*AX40,"")</f>
        <v/>
      </c>
      <c r="AZ40" s="488">
        <f t="shared" ref="AZ40:AZ76" si="28">AX40*O40</f>
        <v>0</v>
      </c>
    </row>
    <row r="41" spans="1:52" s="57" customFormat="1" ht="24.9" customHeight="1" x14ac:dyDescent="0.25">
      <c r="A41" s="588" t="s">
        <v>991</v>
      </c>
      <c r="B41" s="97" t="s">
        <v>111</v>
      </c>
      <c r="C41" s="303"/>
      <c r="D41" s="304" t="s">
        <v>649</v>
      </c>
      <c r="E41" s="305" t="s">
        <v>916</v>
      </c>
      <c r="F41" s="228" t="s">
        <v>670</v>
      </c>
      <c r="G41" s="307">
        <v>9.2100000000000009</v>
      </c>
      <c r="H41" s="97" t="str">
        <f>VLOOKUP($F41,'Leistungswerte UHR Kigas'!$C$6:$F$27,3,FALSE)</f>
        <v>W5</v>
      </c>
      <c r="I41" s="98">
        <f>VLOOKUP(H41,Turnus!$H$9:$I$26,2,FALSE)</f>
        <v>230</v>
      </c>
      <c r="J41" s="127">
        <f t="shared" si="2"/>
        <v>2118.3000000000002</v>
      </c>
      <c r="K41" s="128">
        <f>VLOOKUP($F41,'Leistungswerte UHR Kigas'!$C$6:$F$27,4,FALSE)</f>
        <v>0</v>
      </c>
      <c r="L41" s="496" t="str">
        <f t="shared" si="8"/>
        <v/>
      </c>
      <c r="M41" s="129">
        <f t="shared" si="3"/>
        <v>0</v>
      </c>
      <c r="N41" s="547">
        <f t="shared" si="9"/>
        <v>0</v>
      </c>
      <c r="O41" s="130">
        <f t="shared" si="4"/>
        <v>0</v>
      </c>
      <c r="P41" s="131">
        <f t="shared" si="26"/>
        <v>0</v>
      </c>
      <c r="R41" s="481"/>
      <c r="S41" s="482"/>
      <c r="T41" s="482"/>
      <c r="U41" s="482"/>
      <c r="V41" s="482"/>
      <c r="W41" s="482"/>
      <c r="X41" s="482"/>
      <c r="Y41" s="482"/>
      <c r="Z41" s="482"/>
      <c r="AA41" s="482"/>
      <c r="AB41" s="482"/>
      <c r="AC41" s="482"/>
      <c r="AD41" s="482"/>
      <c r="AE41" s="482"/>
      <c r="AF41" s="482"/>
      <c r="AG41" s="482"/>
      <c r="AH41" s="482"/>
      <c r="AI41" s="482"/>
      <c r="AJ41" s="482"/>
      <c r="AK41" s="482"/>
      <c r="AL41" s="482"/>
      <c r="AM41" s="482"/>
      <c r="AN41" s="482"/>
      <c r="AO41" s="482"/>
      <c r="AP41" s="482"/>
      <c r="AQ41" s="482"/>
      <c r="AR41" s="482"/>
      <c r="AS41" s="482"/>
      <c r="AT41" s="482"/>
      <c r="AU41" s="482"/>
      <c r="AV41" s="482"/>
      <c r="AW41" s="483"/>
      <c r="AX41" s="484">
        <f t="shared" si="10"/>
        <v>0</v>
      </c>
      <c r="AY41" s="501" t="str">
        <f t="shared" si="27"/>
        <v/>
      </c>
      <c r="AZ41" s="488">
        <f t="shared" si="28"/>
        <v>0</v>
      </c>
    </row>
    <row r="42" spans="1:52" s="57" customFormat="1" ht="24.9" customHeight="1" x14ac:dyDescent="0.25">
      <c r="A42" s="588" t="s">
        <v>991</v>
      </c>
      <c r="B42" s="97" t="s">
        <v>111</v>
      </c>
      <c r="C42" s="303"/>
      <c r="D42" s="304" t="s">
        <v>650</v>
      </c>
      <c r="E42" s="305" t="s">
        <v>916</v>
      </c>
      <c r="F42" s="228" t="s">
        <v>670</v>
      </c>
      <c r="G42" s="307">
        <v>9.2100000000000009</v>
      </c>
      <c r="H42" s="97" t="str">
        <f>VLOOKUP($F42,'Leistungswerte UHR Kigas'!$C$6:$F$27,3,FALSE)</f>
        <v>W5</v>
      </c>
      <c r="I42" s="98">
        <f>VLOOKUP(H42,Turnus!$H$9:$I$26,2,FALSE)</f>
        <v>230</v>
      </c>
      <c r="J42" s="127">
        <f t="shared" si="2"/>
        <v>2118.3000000000002</v>
      </c>
      <c r="K42" s="128">
        <f>VLOOKUP($F42,'Leistungswerte UHR Kigas'!$C$6:$F$27,4,FALSE)</f>
        <v>0</v>
      </c>
      <c r="L42" s="496" t="str">
        <f t="shared" si="8"/>
        <v/>
      </c>
      <c r="M42" s="129">
        <f t="shared" si="3"/>
        <v>0</v>
      </c>
      <c r="N42" s="547">
        <f t="shared" si="9"/>
        <v>0</v>
      </c>
      <c r="O42" s="130">
        <f t="shared" si="4"/>
        <v>0</v>
      </c>
      <c r="P42" s="131">
        <f t="shared" si="26"/>
        <v>0</v>
      </c>
      <c r="R42" s="481"/>
      <c r="S42" s="482"/>
      <c r="T42" s="482"/>
      <c r="U42" s="482"/>
      <c r="V42" s="482"/>
      <c r="W42" s="482"/>
      <c r="X42" s="482"/>
      <c r="Y42" s="482"/>
      <c r="Z42" s="482"/>
      <c r="AA42" s="482"/>
      <c r="AB42" s="482"/>
      <c r="AC42" s="482"/>
      <c r="AD42" s="482"/>
      <c r="AE42" s="482"/>
      <c r="AF42" s="482"/>
      <c r="AG42" s="482"/>
      <c r="AH42" s="482"/>
      <c r="AI42" s="482"/>
      <c r="AJ42" s="482"/>
      <c r="AK42" s="482"/>
      <c r="AL42" s="482"/>
      <c r="AM42" s="482"/>
      <c r="AN42" s="482"/>
      <c r="AO42" s="482"/>
      <c r="AP42" s="482"/>
      <c r="AQ42" s="482"/>
      <c r="AR42" s="482"/>
      <c r="AS42" s="482"/>
      <c r="AT42" s="482"/>
      <c r="AU42" s="482"/>
      <c r="AV42" s="482"/>
      <c r="AW42" s="483"/>
      <c r="AX42" s="484">
        <f t="shared" si="10"/>
        <v>0</v>
      </c>
      <c r="AY42" s="501" t="str">
        <f t="shared" si="27"/>
        <v/>
      </c>
      <c r="AZ42" s="488">
        <f t="shared" si="28"/>
        <v>0</v>
      </c>
    </row>
    <row r="43" spans="1:52" s="57" customFormat="1" ht="24.9" customHeight="1" x14ac:dyDescent="0.25">
      <c r="A43" s="588" t="s">
        <v>991</v>
      </c>
      <c r="B43" s="97" t="s">
        <v>111</v>
      </c>
      <c r="C43" s="303"/>
      <c r="D43" s="304" t="s">
        <v>633</v>
      </c>
      <c r="E43" s="305" t="s">
        <v>916</v>
      </c>
      <c r="F43" s="228" t="s">
        <v>666</v>
      </c>
      <c r="G43" s="307">
        <v>8.91</v>
      </c>
      <c r="H43" s="97" t="str">
        <f>VLOOKUP($F43,'Leistungswerte UHR Kigas'!$C$6:$F$27,3,FALSE)</f>
        <v>W5</v>
      </c>
      <c r="I43" s="98">
        <f>VLOOKUP(H43,Turnus!$H$9:$I$26,2,FALSE)</f>
        <v>230</v>
      </c>
      <c r="J43" s="127">
        <f t="shared" si="2"/>
        <v>2049.3000000000002</v>
      </c>
      <c r="K43" s="128">
        <f>VLOOKUP($F43,'Leistungswerte UHR Kigas'!$C$6:$F$27,4,FALSE)</f>
        <v>0</v>
      </c>
      <c r="L43" s="496" t="str">
        <f t="shared" si="8"/>
        <v/>
      </c>
      <c r="M43" s="129">
        <f t="shared" si="3"/>
        <v>0</v>
      </c>
      <c r="N43" s="547">
        <f t="shared" si="9"/>
        <v>0</v>
      </c>
      <c r="O43" s="130">
        <f t="shared" si="4"/>
        <v>0</v>
      </c>
      <c r="P43" s="131">
        <f t="shared" si="26"/>
        <v>0</v>
      </c>
      <c r="R43" s="481"/>
      <c r="S43" s="482"/>
      <c r="T43" s="482"/>
      <c r="U43" s="482"/>
      <c r="V43" s="482"/>
      <c r="W43" s="482"/>
      <c r="X43" s="482"/>
      <c r="Y43" s="482"/>
      <c r="Z43" s="482"/>
      <c r="AA43" s="482"/>
      <c r="AB43" s="482"/>
      <c r="AC43" s="482"/>
      <c r="AD43" s="482"/>
      <c r="AE43" s="482"/>
      <c r="AF43" s="482"/>
      <c r="AG43" s="482"/>
      <c r="AH43" s="482"/>
      <c r="AI43" s="482"/>
      <c r="AJ43" s="482"/>
      <c r="AK43" s="482"/>
      <c r="AL43" s="482"/>
      <c r="AM43" s="482"/>
      <c r="AN43" s="482"/>
      <c r="AO43" s="482"/>
      <c r="AP43" s="482"/>
      <c r="AQ43" s="482"/>
      <c r="AR43" s="482"/>
      <c r="AS43" s="482"/>
      <c r="AT43" s="482"/>
      <c r="AU43" s="482"/>
      <c r="AV43" s="482"/>
      <c r="AW43" s="483"/>
      <c r="AX43" s="484">
        <f t="shared" si="10"/>
        <v>0</v>
      </c>
      <c r="AY43" s="501" t="str">
        <f t="shared" si="27"/>
        <v/>
      </c>
      <c r="AZ43" s="488">
        <f t="shared" si="28"/>
        <v>0</v>
      </c>
    </row>
    <row r="44" spans="1:52" s="57" customFormat="1" ht="24.9" customHeight="1" x14ac:dyDescent="0.25">
      <c r="A44" s="588" t="s">
        <v>991</v>
      </c>
      <c r="B44" s="97" t="s">
        <v>111</v>
      </c>
      <c r="C44" s="303"/>
      <c r="D44" s="304" t="s">
        <v>651</v>
      </c>
      <c r="E44" s="305" t="s">
        <v>905</v>
      </c>
      <c r="F44" s="228" t="s">
        <v>669</v>
      </c>
      <c r="G44" s="307">
        <v>20.28</v>
      </c>
      <c r="H44" s="97" t="str">
        <f>VLOOKUP($F44,'Leistungswerte UHR Kigas'!$C$6:$F$27,3,FALSE)</f>
        <v>W5</v>
      </c>
      <c r="I44" s="98">
        <f>VLOOKUP(H44,Turnus!$H$9:$I$26,2,FALSE)</f>
        <v>230</v>
      </c>
      <c r="J44" s="127">
        <f t="shared" si="2"/>
        <v>4664.4000000000005</v>
      </c>
      <c r="K44" s="128">
        <f>VLOOKUP($F44,'Leistungswerte UHR Kigas'!$C$6:$F$27,4,FALSE)</f>
        <v>0</v>
      </c>
      <c r="L44" s="496" t="str">
        <f t="shared" si="8"/>
        <v/>
      </c>
      <c r="M44" s="129">
        <f t="shared" si="3"/>
        <v>0</v>
      </c>
      <c r="N44" s="547">
        <f t="shared" si="9"/>
        <v>0</v>
      </c>
      <c r="O44" s="130">
        <f t="shared" si="4"/>
        <v>0</v>
      </c>
      <c r="P44" s="131">
        <f t="shared" si="26"/>
        <v>0</v>
      </c>
      <c r="R44" s="481"/>
      <c r="S44" s="482"/>
      <c r="T44" s="482"/>
      <c r="U44" s="482"/>
      <c r="V44" s="482"/>
      <c r="W44" s="482"/>
      <c r="X44" s="482"/>
      <c r="Y44" s="482"/>
      <c r="Z44" s="482"/>
      <c r="AA44" s="482"/>
      <c r="AB44" s="482"/>
      <c r="AC44" s="482"/>
      <c r="AD44" s="482"/>
      <c r="AE44" s="482"/>
      <c r="AF44" s="482"/>
      <c r="AG44" s="482"/>
      <c r="AH44" s="482"/>
      <c r="AI44" s="482"/>
      <c r="AJ44" s="482"/>
      <c r="AK44" s="482"/>
      <c r="AL44" s="482"/>
      <c r="AM44" s="482"/>
      <c r="AN44" s="482"/>
      <c r="AO44" s="482"/>
      <c r="AP44" s="482"/>
      <c r="AQ44" s="482"/>
      <c r="AR44" s="482"/>
      <c r="AS44" s="482"/>
      <c r="AT44" s="482"/>
      <c r="AU44" s="482"/>
      <c r="AV44" s="482"/>
      <c r="AW44" s="483"/>
      <c r="AX44" s="484">
        <f t="shared" si="10"/>
        <v>0</v>
      </c>
      <c r="AY44" s="501" t="str">
        <f t="shared" si="27"/>
        <v/>
      </c>
      <c r="AZ44" s="488">
        <f t="shared" si="28"/>
        <v>0</v>
      </c>
    </row>
    <row r="45" spans="1:52" s="57" customFormat="1" ht="24.9" customHeight="1" x14ac:dyDescent="0.25">
      <c r="A45" s="588" t="s">
        <v>991</v>
      </c>
      <c r="B45" s="97" t="s">
        <v>111</v>
      </c>
      <c r="C45" s="303"/>
      <c r="D45" s="304" t="s">
        <v>635</v>
      </c>
      <c r="E45" s="305" t="s">
        <v>904</v>
      </c>
      <c r="F45" s="228" t="s">
        <v>669</v>
      </c>
      <c r="G45" s="307">
        <v>52.15</v>
      </c>
      <c r="H45" s="97" t="str">
        <f>VLOOKUP($F45,'Leistungswerte UHR Kigas'!$C$6:$F$27,3,FALSE)</f>
        <v>W5</v>
      </c>
      <c r="I45" s="98">
        <f>VLOOKUP(H45,Turnus!$H$9:$I$26,2,FALSE)</f>
        <v>230</v>
      </c>
      <c r="J45" s="127">
        <f t="shared" si="2"/>
        <v>11994.5</v>
      </c>
      <c r="K45" s="128">
        <f>VLOOKUP($F45,'Leistungswerte UHR Kigas'!$C$6:$F$27,4,FALSE)</f>
        <v>0</v>
      </c>
      <c r="L45" s="496" t="str">
        <f t="shared" si="8"/>
        <v/>
      </c>
      <c r="M45" s="129">
        <f t="shared" si="3"/>
        <v>0</v>
      </c>
      <c r="N45" s="547">
        <f t="shared" si="9"/>
        <v>0</v>
      </c>
      <c r="O45" s="130">
        <f t="shared" si="4"/>
        <v>0</v>
      </c>
      <c r="P45" s="131">
        <f t="shared" si="26"/>
        <v>0</v>
      </c>
      <c r="R45" s="481"/>
      <c r="S45" s="482"/>
      <c r="T45" s="482"/>
      <c r="U45" s="482"/>
      <c r="V45" s="482"/>
      <c r="W45" s="482"/>
      <c r="X45" s="482"/>
      <c r="Y45" s="482"/>
      <c r="Z45" s="482"/>
      <c r="AA45" s="482"/>
      <c r="AB45" s="482"/>
      <c r="AC45" s="482"/>
      <c r="AD45" s="482"/>
      <c r="AE45" s="482"/>
      <c r="AF45" s="482"/>
      <c r="AG45" s="482"/>
      <c r="AH45" s="482"/>
      <c r="AI45" s="482"/>
      <c r="AJ45" s="482"/>
      <c r="AK45" s="482"/>
      <c r="AL45" s="482"/>
      <c r="AM45" s="482"/>
      <c r="AN45" s="482"/>
      <c r="AO45" s="482"/>
      <c r="AP45" s="482"/>
      <c r="AQ45" s="482"/>
      <c r="AR45" s="482"/>
      <c r="AS45" s="482"/>
      <c r="AT45" s="482"/>
      <c r="AU45" s="482"/>
      <c r="AV45" s="482"/>
      <c r="AW45" s="483"/>
      <c r="AX45" s="484">
        <f t="shared" si="10"/>
        <v>0</v>
      </c>
      <c r="AY45" s="501" t="str">
        <f t="shared" si="27"/>
        <v/>
      </c>
      <c r="AZ45" s="488">
        <f t="shared" si="28"/>
        <v>0</v>
      </c>
    </row>
    <row r="46" spans="1:52" s="57" customFormat="1" ht="24.9" customHeight="1" x14ac:dyDescent="0.25">
      <c r="A46" s="588" t="s">
        <v>991</v>
      </c>
      <c r="B46" s="97" t="s">
        <v>111</v>
      </c>
      <c r="C46" s="303"/>
      <c r="D46" s="304" t="s">
        <v>630</v>
      </c>
      <c r="E46" s="305" t="s">
        <v>170</v>
      </c>
      <c r="F46" s="228" t="s">
        <v>674</v>
      </c>
      <c r="G46" s="307">
        <v>6.5</v>
      </c>
      <c r="H46" s="97" t="str">
        <f>VLOOKUP($F46,'Leistungswerte UHR Kigas'!$C$6:$F$27,3,FALSE)</f>
        <v>W5</v>
      </c>
      <c r="I46" s="98">
        <f>VLOOKUP(H46,Turnus!$H$9:$I$26,2,FALSE)</f>
        <v>230</v>
      </c>
      <c r="J46" s="127">
        <f t="shared" si="2"/>
        <v>1495</v>
      </c>
      <c r="K46" s="128">
        <f>VLOOKUP($F46,'Leistungswerte UHR Kigas'!$C$6:$F$27,4,FALSE)</f>
        <v>0</v>
      </c>
      <c r="L46" s="496" t="str">
        <f t="shared" si="8"/>
        <v/>
      </c>
      <c r="M46" s="129">
        <f t="shared" si="3"/>
        <v>0</v>
      </c>
      <c r="N46" s="547">
        <f t="shared" si="9"/>
        <v>0</v>
      </c>
      <c r="O46" s="130">
        <f t="shared" si="4"/>
        <v>0</v>
      </c>
      <c r="P46" s="131">
        <f t="shared" si="26"/>
        <v>0</v>
      </c>
      <c r="R46" s="481"/>
      <c r="S46" s="482"/>
      <c r="T46" s="482"/>
      <c r="U46" s="482"/>
      <c r="V46" s="482"/>
      <c r="W46" s="482"/>
      <c r="X46" s="482"/>
      <c r="Y46" s="482"/>
      <c r="Z46" s="482"/>
      <c r="AA46" s="482"/>
      <c r="AB46" s="482"/>
      <c r="AC46" s="482"/>
      <c r="AD46" s="482"/>
      <c r="AE46" s="482"/>
      <c r="AF46" s="482"/>
      <c r="AG46" s="482"/>
      <c r="AH46" s="482"/>
      <c r="AI46" s="482"/>
      <c r="AJ46" s="482"/>
      <c r="AK46" s="482"/>
      <c r="AL46" s="482"/>
      <c r="AM46" s="482"/>
      <c r="AN46" s="482"/>
      <c r="AO46" s="482"/>
      <c r="AP46" s="482"/>
      <c r="AQ46" s="482"/>
      <c r="AR46" s="482"/>
      <c r="AS46" s="482"/>
      <c r="AT46" s="482"/>
      <c r="AU46" s="482"/>
      <c r="AV46" s="482"/>
      <c r="AW46" s="483"/>
      <c r="AX46" s="484">
        <f t="shared" si="10"/>
        <v>0</v>
      </c>
      <c r="AY46" s="501" t="str">
        <f t="shared" si="27"/>
        <v/>
      </c>
      <c r="AZ46" s="488">
        <f t="shared" si="28"/>
        <v>0</v>
      </c>
    </row>
    <row r="47" spans="1:52" s="57" customFormat="1" ht="24.9" customHeight="1" x14ac:dyDescent="0.25">
      <c r="A47" s="588" t="s">
        <v>991</v>
      </c>
      <c r="B47" s="97" t="s">
        <v>111</v>
      </c>
      <c r="C47" s="303"/>
      <c r="D47" s="304" t="s">
        <v>634</v>
      </c>
      <c r="E47" s="305" t="s">
        <v>905</v>
      </c>
      <c r="F47" s="414" t="s">
        <v>892</v>
      </c>
      <c r="G47" s="307">
        <v>7.76</v>
      </c>
      <c r="H47" s="97" t="str">
        <f>VLOOKUP($F47,'Leistungswerte UHR Kigas'!$C$6:$F$27,3,FALSE)</f>
        <v>W5</v>
      </c>
      <c r="I47" s="98">
        <f>VLOOKUP(H47,Turnus!$H$9:$I$26,2,FALSE)</f>
        <v>230</v>
      </c>
      <c r="J47" s="127">
        <f t="shared" si="2"/>
        <v>1784.8</v>
      </c>
      <c r="K47" s="128">
        <f>VLOOKUP($F47,'Leistungswerte UHR Kigas'!$C$6:$F$27,4,FALSE)</f>
        <v>0</v>
      </c>
      <c r="L47" s="496" t="str">
        <f t="shared" si="8"/>
        <v/>
      </c>
      <c r="M47" s="129">
        <f t="shared" si="3"/>
        <v>0</v>
      </c>
      <c r="N47" s="547">
        <f t="shared" si="9"/>
        <v>0</v>
      </c>
      <c r="O47" s="130">
        <f t="shared" si="4"/>
        <v>0</v>
      </c>
      <c r="P47" s="131">
        <f t="shared" si="26"/>
        <v>0</v>
      </c>
      <c r="R47" s="481"/>
      <c r="S47" s="482"/>
      <c r="T47" s="482"/>
      <c r="U47" s="482"/>
      <c r="V47" s="482"/>
      <c r="W47" s="482"/>
      <c r="X47" s="482"/>
      <c r="Y47" s="482"/>
      <c r="Z47" s="482"/>
      <c r="AA47" s="482"/>
      <c r="AB47" s="482"/>
      <c r="AC47" s="482"/>
      <c r="AD47" s="482"/>
      <c r="AE47" s="482"/>
      <c r="AF47" s="482"/>
      <c r="AG47" s="482"/>
      <c r="AH47" s="482"/>
      <c r="AI47" s="482"/>
      <c r="AJ47" s="482"/>
      <c r="AK47" s="482"/>
      <c r="AL47" s="482"/>
      <c r="AM47" s="482"/>
      <c r="AN47" s="482"/>
      <c r="AO47" s="482"/>
      <c r="AP47" s="482"/>
      <c r="AQ47" s="482"/>
      <c r="AR47" s="482"/>
      <c r="AS47" s="482"/>
      <c r="AT47" s="482"/>
      <c r="AU47" s="482"/>
      <c r="AV47" s="482"/>
      <c r="AW47" s="483"/>
      <c r="AX47" s="484">
        <f t="shared" si="10"/>
        <v>0</v>
      </c>
      <c r="AY47" s="501" t="str">
        <f t="shared" si="27"/>
        <v/>
      </c>
      <c r="AZ47" s="488">
        <f t="shared" si="28"/>
        <v>0</v>
      </c>
    </row>
    <row r="48" spans="1:52" s="57" customFormat="1" ht="24.9" customHeight="1" x14ac:dyDescent="0.25">
      <c r="A48" s="588" t="s">
        <v>991</v>
      </c>
      <c r="B48" s="97" t="s">
        <v>111</v>
      </c>
      <c r="C48" s="303"/>
      <c r="D48" s="312" t="s">
        <v>260</v>
      </c>
      <c r="E48" s="305" t="s">
        <v>904</v>
      </c>
      <c r="F48" s="228" t="s">
        <v>669</v>
      </c>
      <c r="G48" s="307">
        <v>52.15</v>
      </c>
      <c r="H48" s="97" t="str">
        <f>VLOOKUP($F48,'Leistungswerte UHR Kigas'!$C$6:$F$27,3,FALSE)</f>
        <v>W5</v>
      </c>
      <c r="I48" s="98">
        <f>VLOOKUP(H48,Turnus!$H$9:$I$26,2,FALSE)</f>
        <v>230</v>
      </c>
      <c r="J48" s="127">
        <f t="shared" si="2"/>
        <v>11994.5</v>
      </c>
      <c r="K48" s="128">
        <f>VLOOKUP($F48,'Leistungswerte UHR Kigas'!$C$6:$F$27,4,FALSE)</f>
        <v>0</v>
      </c>
      <c r="L48" s="496" t="str">
        <f t="shared" si="8"/>
        <v/>
      </c>
      <c r="M48" s="129">
        <f t="shared" si="3"/>
        <v>0</v>
      </c>
      <c r="N48" s="547">
        <f t="shared" si="9"/>
        <v>0</v>
      </c>
      <c r="O48" s="130">
        <f t="shared" si="4"/>
        <v>0</v>
      </c>
      <c r="P48" s="131">
        <f t="shared" si="26"/>
        <v>0</v>
      </c>
      <c r="Q48" s="309"/>
      <c r="R48" s="481"/>
      <c r="S48" s="482"/>
      <c r="T48" s="482"/>
      <c r="U48" s="482"/>
      <c r="V48" s="482"/>
      <c r="W48" s="482"/>
      <c r="X48" s="482"/>
      <c r="Y48" s="482"/>
      <c r="Z48" s="482"/>
      <c r="AA48" s="482"/>
      <c r="AB48" s="482"/>
      <c r="AC48" s="482"/>
      <c r="AD48" s="482"/>
      <c r="AE48" s="482"/>
      <c r="AF48" s="482"/>
      <c r="AG48" s="482"/>
      <c r="AH48" s="482"/>
      <c r="AI48" s="482"/>
      <c r="AJ48" s="482"/>
      <c r="AK48" s="482"/>
      <c r="AL48" s="482"/>
      <c r="AM48" s="482"/>
      <c r="AN48" s="482"/>
      <c r="AO48" s="482"/>
      <c r="AP48" s="482"/>
      <c r="AQ48" s="482"/>
      <c r="AR48" s="482"/>
      <c r="AS48" s="482"/>
      <c r="AT48" s="482"/>
      <c r="AU48" s="482"/>
      <c r="AV48" s="482"/>
      <c r="AW48" s="483"/>
      <c r="AX48" s="484">
        <f t="shared" si="10"/>
        <v>0</v>
      </c>
      <c r="AY48" s="501" t="str">
        <f t="shared" si="27"/>
        <v/>
      </c>
      <c r="AZ48" s="488">
        <f t="shared" si="28"/>
        <v>0</v>
      </c>
    </row>
    <row r="49" spans="1:52" s="57" customFormat="1" ht="24.9" customHeight="1" x14ac:dyDescent="0.25">
      <c r="A49" s="588" t="s">
        <v>991</v>
      </c>
      <c r="B49" s="97" t="s">
        <v>111</v>
      </c>
      <c r="C49" s="303"/>
      <c r="D49" s="304" t="s">
        <v>630</v>
      </c>
      <c r="E49" s="306" t="s">
        <v>170</v>
      </c>
      <c r="F49" s="228" t="s">
        <v>674</v>
      </c>
      <c r="G49" s="307">
        <v>6.5</v>
      </c>
      <c r="H49" s="97" t="str">
        <f>VLOOKUP($F49,'Leistungswerte UHR Kigas'!$C$6:$F$27,3,FALSE)</f>
        <v>W5</v>
      </c>
      <c r="I49" s="98">
        <f>VLOOKUP(H49,Turnus!$H$9:$I$26,2,FALSE)</f>
        <v>230</v>
      </c>
      <c r="J49" s="127">
        <f t="shared" si="2"/>
        <v>1495</v>
      </c>
      <c r="K49" s="128">
        <f>VLOOKUP($F49,'Leistungswerte UHR Kigas'!$C$6:$F$27,4,FALSE)</f>
        <v>0</v>
      </c>
      <c r="L49" s="496" t="str">
        <f t="shared" si="8"/>
        <v/>
      </c>
      <c r="M49" s="129">
        <f t="shared" si="3"/>
        <v>0</v>
      </c>
      <c r="N49" s="547">
        <f t="shared" si="9"/>
        <v>0</v>
      </c>
      <c r="O49" s="130">
        <f t="shared" si="4"/>
        <v>0</v>
      </c>
      <c r="P49" s="131">
        <f t="shared" si="26"/>
        <v>0</v>
      </c>
      <c r="R49" s="481"/>
      <c r="S49" s="482"/>
      <c r="T49" s="482"/>
      <c r="U49" s="482"/>
      <c r="V49" s="482"/>
      <c r="W49" s="482"/>
      <c r="X49" s="482"/>
      <c r="Y49" s="482"/>
      <c r="Z49" s="482"/>
      <c r="AA49" s="482"/>
      <c r="AB49" s="482"/>
      <c r="AC49" s="482"/>
      <c r="AD49" s="482"/>
      <c r="AE49" s="482"/>
      <c r="AF49" s="482"/>
      <c r="AG49" s="482"/>
      <c r="AH49" s="482"/>
      <c r="AI49" s="482"/>
      <c r="AJ49" s="482"/>
      <c r="AK49" s="482"/>
      <c r="AL49" s="482"/>
      <c r="AM49" s="482"/>
      <c r="AN49" s="482"/>
      <c r="AO49" s="482"/>
      <c r="AP49" s="482"/>
      <c r="AQ49" s="482"/>
      <c r="AR49" s="482"/>
      <c r="AS49" s="482"/>
      <c r="AT49" s="482"/>
      <c r="AU49" s="482"/>
      <c r="AV49" s="482"/>
      <c r="AW49" s="483"/>
      <c r="AX49" s="484">
        <f t="shared" ref="AX49" si="29">SUM(S49:AW49)</f>
        <v>0</v>
      </c>
      <c r="AY49" s="501" t="str">
        <f t="shared" si="27"/>
        <v/>
      </c>
      <c r="AZ49" s="488">
        <f t="shared" si="28"/>
        <v>0</v>
      </c>
    </row>
    <row r="50" spans="1:52" s="57" customFormat="1" ht="24.9" customHeight="1" x14ac:dyDescent="0.25">
      <c r="A50" s="588" t="s">
        <v>991</v>
      </c>
      <c r="B50" s="97" t="s">
        <v>111</v>
      </c>
      <c r="C50" s="303"/>
      <c r="D50" s="228" t="s">
        <v>632</v>
      </c>
      <c r="E50" s="305" t="s">
        <v>905</v>
      </c>
      <c r="F50" s="414" t="s">
        <v>892</v>
      </c>
      <c r="G50" s="307">
        <v>7.76</v>
      </c>
      <c r="H50" s="97" t="str">
        <f>VLOOKUP($F50,'Leistungswerte UHR Kigas'!$C$6:$F$27,3,FALSE)</f>
        <v>W5</v>
      </c>
      <c r="I50" s="98">
        <f>VLOOKUP(H50,Turnus!$H$9:$I$26,2,FALSE)</f>
        <v>230</v>
      </c>
      <c r="J50" s="127">
        <f t="shared" si="2"/>
        <v>1784.8</v>
      </c>
      <c r="K50" s="128">
        <f>VLOOKUP($F50,'Leistungswerte UHR Kigas'!$C$6:$F$27,4,FALSE)</f>
        <v>0</v>
      </c>
      <c r="L50" s="496" t="str">
        <f t="shared" si="8"/>
        <v/>
      </c>
      <c r="M50" s="129">
        <f t="shared" si="3"/>
        <v>0</v>
      </c>
      <c r="N50" s="547">
        <f t="shared" si="9"/>
        <v>0</v>
      </c>
      <c r="O50" s="130">
        <f t="shared" si="4"/>
        <v>0</v>
      </c>
      <c r="P50" s="131">
        <f t="shared" si="26"/>
        <v>0</v>
      </c>
      <c r="R50" s="481"/>
      <c r="S50" s="482"/>
      <c r="T50" s="482"/>
      <c r="U50" s="482"/>
      <c r="V50" s="482"/>
      <c r="W50" s="482"/>
      <c r="X50" s="482"/>
      <c r="Y50" s="482"/>
      <c r="Z50" s="482"/>
      <c r="AA50" s="482"/>
      <c r="AB50" s="482"/>
      <c r="AC50" s="482"/>
      <c r="AD50" s="482"/>
      <c r="AE50" s="482"/>
      <c r="AF50" s="482"/>
      <c r="AG50" s="482"/>
      <c r="AH50" s="482"/>
      <c r="AI50" s="482"/>
      <c r="AJ50" s="482"/>
      <c r="AK50" s="482"/>
      <c r="AL50" s="482"/>
      <c r="AM50" s="482"/>
      <c r="AN50" s="482"/>
      <c r="AO50" s="482"/>
      <c r="AP50" s="482"/>
      <c r="AQ50" s="482"/>
      <c r="AR50" s="482"/>
      <c r="AS50" s="482"/>
      <c r="AT50" s="482"/>
      <c r="AU50" s="482"/>
      <c r="AV50" s="482"/>
      <c r="AW50" s="483"/>
      <c r="AX50" s="484">
        <f t="shared" si="10"/>
        <v>0</v>
      </c>
      <c r="AY50" s="501" t="str">
        <f t="shared" si="27"/>
        <v/>
      </c>
      <c r="AZ50" s="488">
        <f t="shared" si="28"/>
        <v>0</v>
      </c>
    </row>
    <row r="51" spans="1:52" s="57" customFormat="1" ht="24.9" customHeight="1" x14ac:dyDescent="0.25">
      <c r="A51" s="588" t="s">
        <v>991</v>
      </c>
      <c r="B51" s="97" t="s">
        <v>111</v>
      </c>
      <c r="C51" s="303"/>
      <c r="D51" s="304" t="s">
        <v>577</v>
      </c>
      <c r="E51" s="305" t="s">
        <v>905</v>
      </c>
      <c r="F51" s="414" t="s">
        <v>892</v>
      </c>
      <c r="G51" s="307">
        <v>10.72</v>
      </c>
      <c r="H51" s="97" t="str">
        <f>VLOOKUP($F51,'Leistungswerte UHR Kigas'!$C$6:$F$27,3,FALSE)</f>
        <v>W5</v>
      </c>
      <c r="I51" s="98">
        <f>VLOOKUP(H51,Turnus!$H$9:$I$26,2,FALSE)</f>
        <v>230</v>
      </c>
      <c r="J51" s="127">
        <f t="shared" si="2"/>
        <v>2465.6000000000004</v>
      </c>
      <c r="K51" s="128">
        <f>VLOOKUP($F51,'Leistungswerte UHR Kigas'!$C$6:$F$27,4,FALSE)</f>
        <v>0</v>
      </c>
      <c r="L51" s="496" t="str">
        <f t="shared" si="8"/>
        <v/>
      </c>
      <c r="M51" s="129">
        <f t="shared" si="3"/>
        <v>0</v>
      </c>
      <c r="N51" s="547">
        <f t="shared" si="9"/>
        <v>0</v>
      </c>
      <c r="O51" s="130">
        <f t="shared" si="4"/>
        <v>0</v>
      </c>
      <c r="P51" s="131">
        <f t="shared" si="26"/>
        <v>0</v>
      </c>
      <c r="R51" s="481"/>
      <c r="S51" s="482"/>
      <c r="T51" s="482"/>
      <c r="U51" s="482"/>
      <c r="V51" s="482"/>
      <c r="W51" s="482"/>
      <c r="X51" s="482"/>
      <c r="Y51" s="482"/>
      <c r="Z51" s="482"/>
      <c r="AA51" s="482"/>
      <c r="AB51" s="482"/>
      <c r="AC51" s="482"/>
      <c r="AD51" s="482"/>
      <c r="AE51" s="482"/>
      <c r="AF51" s="482"/>
      <c r="AG51" s="482"/>
      <c r="AH51" s="482"/>
      <c r="AI51" s="482"/>
      <c r="AJ51" s="482"/>
      <c r="AK51" s="482"/>
      <c r="AL51" s="482"/>
      <c r="AM51" s="482"/>
      <c r="AN51" s="482"/>
      <c r="AO51" s="482"/>
      <c r="AP51" s="482"/>
      <c r="AQ51" s="482"/>
      <c r="AR51" s="482"/>
      <c r="AS51" s="482"/>
      <c r="AT51" s="482"/>
      <c r="AU51" s="482"/>
      <c r="AV51" s="482"/>
      <c r="AW51" s="483"/>
      <c r="AX51" s="484">
        <f t="shared" si="10"/>
        <v>0</v>
      </c>
      <c r="AY51" s="501" t="str">
        <f t="shared" si="27"/>
        <v/>
      </c>
      <c r="AZ51" s="488">
        <f t="shared" si="28"/>
        <v>0</v>
      </c>
    </row>
    <row r="52" spans="1:52" s="57" customFormat="1" ht="24.9" customHeight="1" x14ac:dyDescent="0.25">
      <c r="A52" s="588" t="s">
        <v>991</v>
      </c>
      <c r="B52" s="97" t="s">
        <v>111</v>
      </c>
      <c r="C52" s="303"/>
      <c r="D52" s="304" t="s">
        <v>254</v>
      </c>
      <c r="E52" s="305" t="s">
        <v>905</v>
      </c>
      <c r="F52" s="228" t="s">
        <v>669</v>
      </c>
      <c r="G52" s="307">
        <v>63.93</v>
      </c>
      <c r="H52" s="97" t="str">
        <f>VLOOKUP($F52,'Leistungswerte UHR Kigas'!$C$6:$F$27,3,FALSE)</f>
        <v>W5</v>
      </c>
      <c r="I52" s="98">
        <f>VLOOKUP(H52,Turnus!$H$9:$I$26,2,FALSE)</f>
        <v>230</v>
      </c>
      <c r="J52" s="127">
        <f t="shared" si="2"/>
        <v>14703.9</v>
      </c>
      <c r="K52" s="128">
        <f>VLOOKUP($F52,'Leistungswerte UHR Kigas'!$C$6:$F$27,4,FALSE)</f>
        <v>0</v>
      </c>
      <c r="L52" s="496" t="str">
        <f t="shared" si="8"/>
        <v/>
      </c>
      <c r="M52" s="129">
        <f t="shared" si="3"/>
        <v>0</v>
      </c>
      <c r="N52" s="547">
        <f t="shared" si="9"/>
        <v>0</v>
      </c>
      <c r="O52" s="130">
        <f t="shared" si="4"/>
        <v>0</v>
      </c>
      <c r="P52" s="131">
        <f t="shared" si="26"/>
        <v>0</v>
      </c>
      <c r="R52" s="481"/>
      <c r="S52" s="482"/>
      <c r="T52" s="482"/>
      <c r="U52" s="482"/>
      <c r="V52" s="482"/>
      <c r="W52" s="482"/>
      <c r="X52" s="482"/>
      <c r="Y52" s="482"/>
      <c r="Z52" s="482"/>
      <c r="AA52" s="482"/>
      <c r="AB52" s="482"/>
      <c r="AC52" s="482"/>
      <c r="AD52" s="482"/>
      <c r="AE52" s="482"/>
      <c r="AF52" s="482"/>
      <c r="AG52" s="482"/>
      <c r="AH52" s="482"/>
      <c r="AI52" s="482"/>
      <c r="AJ52" s="482"/>
      <c r="AK52" s="482"/>
      <c r="AL52" s="482"/>
      <c r="AM52" s="482"/>
      <c r="AN52" s="482"/>
      <c r="AO52" s="482"/>
      <c r="AP52" s="482"/>
      <c r="AQ52" s="482"/>
      <c r="AR52" s="482"/>
      <c r="AS52" s="482"/>
      <c r="AT52" s="482"/>
      <c r="AU52" s="482"/>
      <c r="AV52" s="482"/>
      <c r="AW52" s="483"/>
      <c r="AX52" s="484">
        <f t="shared" si="10"/>
        <v>0</v>
      </c>
      <c r="AY52" s="501" t="str">
        <f t="shared" si="27"/>
        <v/>
      </c>
      <c r="AZ52" s="488">
        <f t="shared" si="28"/>
        <v>0</v>
      </c>
    </row>
    <row r="53" spans="1:52" s="57" customFormat="1" ht="24.9" customHeight="1" x14ac:dyDescent="0.25">
      <c r="A53" s="588" t="s">
        <v>991</v>
      </c>
      <c r="B53" s="97" t="s">
        <v>111</v>
      </c>
      <c r="C53" s="303"/>
      <c r="D53" s="228" t="s">
        <v>630</v>
      </c>
      <c r="E53" s="306" t="s">
        <v>170</v>
      </c>
      <c r="F53" s="228" t="s">
        <v>674</v>
      </c>
      <c r="G53" s="307">
        <v>9</v>
      </c>
      <c r="H53" s="97" t="str">
        <f>VLOOKUP($F53,'Leistungswerte UHR Kigas'!$C$6:$F$27,3,FALSE)</f>
        <v>W5</v>
      </c>
      <c r="I53" s="98">
        <f>VLOOKUP(H53,Turnus!$H$9:$I$26,2,FALSE)</f>
        <v>230</v>
      </c>
      <c r="J53" s="127">
        <f t="shared" si="2"/>
        <v>2070</v>
      </c>
      <c r="K53" s="128">
        <f>VLOOKUP($F53,'Leistungswerte UHR Kigas'!$C$6:$F$27,4,FALSE)</f>
        <v>0</v>
      </c>
      <c r="L53" s="496" t="str">
        <f t="shared" si="8"/>
        <v/>
      </c>
      <c r="M53" s="129">
        <f t="shared" si="3"/>
        <v>0</v>
      </c>
      <c r="N53" s="547">
        <f t="shared" si="9"/>
        <v>0</v>
      </c>
      <c r="O53" s="130">
        <f t="shared" si="4"/>
        <v>0</v>
      </c>
      <c r="P53" s="131">
        <f t="shared" si="26"/>
        <v>0</v>
      </c>
      <c r="R53" s="481"/>
      <c r="S53" s="482"/>
      <c r="T53" s="482"/>
      <c r="U53" s="482"/>
      <c r="V53" s="482"/>
      <c r="W53" s="482"/>
      <c r="X53" s="482"/>
      <c r="Y53" s="482"/>
      <c r="Z53" s="482"/>
      <c r="AA53" s="482"/>
      <c r="AB53" s="482"/>
      <c r="AC53" s="482"/>
      <c r="AD53" s="482"/>
      <c r="AE53" s="482"/>
      <c r="AF53" s="482"/>
      <c r="AG53" s="482"/>
      <c r="AH53" s="482"/>
      <c r="AI53" s="482"/>
      <c r="AJ53" s="482"/>
      <c r="AK53" s="482"/>
      <c r="AL53" s="482"/>
      <c r="AM53" s="482"/>
      <c r="AN53" s="482"/>
      <c r="AO53" s="482"/>
      <c r="AP53" s="482"/>
      <c r="AQ53" s="482"/>
      <c r="AR53" s="482"/>
      <c r="AS53" s="482"/>
      <c r="AT53" s="482"/>
      <c r="AU53" s="482"/>
      <c r="AV53" s="482"/>
      <c r="AW53" s="483"/>
      <c r="AX53" s="484">
        <f t="shared" si="10"/>
        <v>0</v>
      </c>
      <c r="AY53" s="501" t="str">
        <f t="shared" si="27"/>
        <v/>
      </c>
      <c r="AZ53" s="488">
        <f t="shared" si="28"/>
        <v>0</v>
      </c>
    </row>
    <row r="54" spans="1:52" s="57" customFormat="1" ht="24.9" customHeight="1" x14ac:dyDescent="0.25">
      <c r="A54" s="588" t="s">
        <v>991</v>
      </c>
      <c r="B54" s="97" t="s">
        <v>111</v>
      </c>
      <c r="C54" s="303"/>
      <c r="D54" s="304" t="s">
        <v>629</v>
      </c>
      <c r="E54" s="305" t="s">
        <v>916</v>
      </c>
      <c r="F54" s="228" t="s">
        <v>666</v>
      </c>
      <c r="G54" s="307">
        <v>8.91</v>
      </c>
      <c r="H54" s="97" t="str">
        <f>VLOOKUP($F54,'Leistungswerte UHR Kigas'!$C$6:$F$27,3,FALSE)</f>
        <v>W5</v>
      </c>
      <c r="I54" s="98">
        <f>VLOOKUP(H54,Turnus!$H$9:$I$26,2,FALSE)</f>
        <v>230</v>
      </c>
      <c r="J54" s="127">
        <f t="shared" si="2"/>
        <v>2049.3000000000002</v>
      </c>
      <c r="K54" s="128">
        <f>VLOOKUP($F54,'Leistungswerte UHR Kigas'!$C$6:$F$27,4,FALSE)</f>
        <v>0</v>
      </c>
      <c r="L54" s="496" t="str">
        <f t="shared" si="8"/>
        <v/>
      </c>
      <c r="M54" s="129">
        <f t="shared" si="3"/>
        <v>0</v>
      </c>
      <c r="N54" s="547">
        <f t="shared" si="9"/>
        <v>0</v>
      </c>
      <c r="O54" s="130">
        <f t="shared" si="4"/>
        <v>0</v>
      </c>
      <c r="P54" s="131">
        <f t="shared" si="26"/>
        <v>0</v>
      </c>
      <c r="R54" s="481"/>
      <c r="S54" s="482"/>
      <c r="T54" s="482"/>
      <c r="U54" s="482"/>
      <c r="V54" s="482"/>
      <c r="W54" s="482"/>
      <c r="X54" s="482"/>
      <c r="Y54" s="482"/>
      <c r="Z54" s="482"/>
      <c r="AA54" s="482"/>
      <c r="AB54" s="482"/>
      <c r="AC54" s="482"/>
      <c r="AD54" s="482"/>
      <c r="AE54" s="482"/>
      <c r="AF54" s="482"/>
      <c r="AG54" s="482"/>
      <c r="AH54" s="482"/>
      <c r="AI54" s="482"/>
      <c r="AJ54" s="482"/>
      <c r="AK54" s="482"/>
      <c r="AL54" s="482"/>
      <c r="AM54" s="482"/>
      <c r="AN54" s="482"/>
      <c r="AO54" s="482"/>
      <c r="AP54" s="482"/>
      <c r="AQ54" s="482"/>
      <c r="AR54" s="482"/>
      <c r="AS54" s="482"/>
      <c r="AT54" s="482"/>
      <c r="AU54" s="482"/>
      <c r="AV54" s="482"/>
      <c r="AW54" s="483"/>
      <c r="AX54" s="484">
        <f t="shared" si="10"/>
        <v>0</v>
      </c>
      <c r="AY54" s="501" t="str">
        <f t="shared" si="27"/>
        <v/>
      </c>
      <c r="AZ54" s="488">
        <f t="shared" si="28"/>
        <v>0</v>
      </c>
    </row>
    <row r="55" spans="1:52" s="57" customFormat="1" ht="24.9" customHeight="1" x14ac:dyDescent="0.25">
      <c r="A55" s="588" t="s">
        <v>991</v>
      </c>
      <c r="B55" s="97" t="s">
        <v>111</v>
      </c>
      <c r="C55" s="303"/>
      <c r="D55" s="304" t="s">
        <v>652</v>
      </c>
      <c r="E55" s="305" t="s">
        <v>905</v>
      </c>
      <c r="F55" s="228" t="s">
        <v>669</v>
      </c>
      <c r="G55" s="307">
        <v>18.77</v>
      </c>
      <c r="H55" s="97" t="str">
        <f>VLOOKUP($F55,'Leistungswerte UHR Kigas'!$C$6:$F$27,3,FALSE)</f>
        <v>W5</v>
      </c>
      <c r="I55" s="98">
        <f>VLOOKUP(H55,Turnus!$H$9:$I$26,2,FALSE)</f>
        <v>230</v>
      </c>
      <c r="J55" s="127">
        <f t="shared" si="2"/>
        <v>4317.0999999999995</v>
      </c>
      <c r="K55" s="128">
        <f>VLOOKUP($F55,'Leistungswerte UHR Kigas'!$C$6:$F$27,4,FALSE)</f>
        <v>0</v>
      </c>
      <c r="L55" s="496" t="str">
        <f t="shared" si="8"/>
        <v/>
      </c>
      <c r="M55" s="129">
        <f t="shared" si="3"/>
        <v>0</v>
      </c>
      <c r="N55" s="547">
        <f t="shared" si="9"/>
        <v>0</v>
      </c>
      <c r="O55" s="130">
        <f t="shared" si="4"/>
        <v>0</v>
      </c>
      <c r="P55" s="131">
        <f t="shared" si="26"/>
        <v>0</v>
      </c>
      <c r="R55" s="481"/>
      <c r="S55" s="482"/>
      <c r="T55" s="482"/>
      <c r="U55" s="482"/>
      <c r="V55" s="482"/>
      <c r="W55" s="482"/>
      <c r="X55" s="482"/>
      <c r="Y55" s="482"/>
      <c r="Z55" s="482"/>
      <c r="AA55" s="482"/>
      <c r="AB55" s="482"/>
      <c r="AC55" s="482"/>
      <c r="AD55" s="482"/>
      <c r="AE55" s="482"/>
      <c r="AF55" s="482"/>
      <c r="AG55" s="482"/>
      <c r="AH55" s="482"/>
      <c r="AI55" s="482"/>
      <c r="AJ55" s="482"/>
      <c r="AK55" s="482"/>
      <c r="AL55" s="482"/>
      <c r="AM55" s="482"/>
      <c r="AN55" s="482"/>
      <c r="AO55" s="482"/>
      <c r="AP55" s="482"/>
      <c r="AQ55" s="482"/>
      <c r="AR55" s="482"/>
      <c r="AS55" s="482"/>
      <c r="AT55" s="482"/>
      <c r="AU55" s="482"/>
      <c r="AV55" s="482"/>
      <c r="AW55" s="483"/>
      <c r="AX55" s="484">
        <f t="shared" si="10"/>
        <v>0</v>
      </c>
      <c r="AY55" s="501" t="str">
        <f t="shared" si="27"/>
        <v/>
      </c>
      <c r="AZ55" s="488">
        <f t="shared" si="28"/>
        <v>0</v>
      </c>
    </row>
    <row r="56" spans="1:52" s="57" customFormat="1" ht="24.9" customHeight="1" x14ac:dyDescent="0.25">
      <c r="A56" s="588" t="s">
        <v>991</v>
      </c>
      <c r="B56" s="97" t="s">
        <v>111</v>
      </c>
      <c r="C56" s="303"/>
      <c r="D56" s="304" t="s">
        <v>261</v>
      </c>
      <c r="E56" s="305" t="s">
        <v>904</v>
      </c>
      <c r="F56" s="228" t="s">
        <v>669</v>
      </c>
      <c r="G56" s="307">
        <v>52.15</v>
      </c>
      <c r="H56" s="97" t="str">
        <f>VLOOKUP($F56,'Leistungswerte UHR Kigas'!$C$6:$F$27,3,FALSE)</f>
        <v>W5</v>
      </c>
      <c r="I56" s="98">
        <f>VLOOKUP(H56,Turnus!$H$9:$I$26,2,FALSE)</f>
        <v>230</v>
      </c>
      <c r="J56" s="127">
        <f t="shared" si="2"/>
        <v>11994.5</v>
      </c>
      <c r="K56" s="128">
        <f>VLOOKUP($F56,'Leistungswerte UHR Kigas'!$C$6:$F$27,4,FALSE)</f>
        <v>0</v>
      </c>
      <c r="L56" s="496" t="str">
        <f t="shared" si="8"/>
        <v/>
      </c>
      <c r="M56" s="129">
        <f t="shared" si="3"/>
        <v>0</v>
      </c>
      <c r="N56" s="547">
        <f t="shared" si="9"/>
        <v>0</v>
      </c>
      <c r="O56" s="130">
        <f t="shared" si="4"/>
        <v>0</v>
      </c>
      <c r="P56" s="131">
        <f t="shared" si="26"/>
        <v>0</v>
      </c>
      <c r="R56" s="481"/>
      <c r="S56" s="482"/>
      <c r="T56" s="482"/>
      <c r="U56" s="482"/>
      <c r="V56" s="482"/>
      <c r="W56" s="482"/>
      <c r="X56" s="482"/>
      <c r="Y56" s="482"/>
      <c r="Z56" s="482"/>
      <c r="AA56" s="482"/>
      <c r="AB56" s="482"/>
      <c r="AC56" s="482"/>
      <c r="AD56" s="482"/>
      <c r="AE56" s="482"/>
      <c r="AF56" s="482"/>
      <c r="AG56" s="482"/>
      <c r="AH56" s="482"/>
      <c r="AI56" s="482"/>
      <c r="AJ56" s="482"/>
      <c r="AK56" s="482"/>
      <c r="AL56" s="482"/>
      <c r="AM56" s="482"/>
      <c r="AN56" s="482"/>
      <c r="AO56" s="482"/>
      <c r="AP56" s="482"/>
      <c r="AQ56" s="482"/>
      <c r="AR56" s="482"/>
      <c r="AS56" s="482"/>
      <c r="AT56" s="482"/>
      <c r="AU56" s="482"/>
      <c r="AV56" s="482"/>
      <c r="AW56" s="483"/>
      <c r="AX56" s="484">
        <f t="shared" si="10"/>
        <v>0</v>
      </c>
      <c r="AY56" s="501" t="str">
        <f t="shared" si="27"/>
        <v/>
      </c>
      <c r="AZ56" s="488">
        <f t="shared" si="28"/>
        <v>0</v>
      </c>
    </row>
    <row r="57" spans="1:52" s="57" customFormat="1" ht="24.9" customHeight="1" x14ac:dyDescent="0.25">
      <c r="A57" s="588" t="s">
        <v>991</v>
      </c>
      <c r="B57" s="97" t="s">
        <v>111</v>
      </c>
      <c r="C57" s="303"/>
      <c r="D57" s="304" t="s">
        <v>630</v>
      </c>
      <c r="E57" s="305" t="s">
        <v>170</v>
      </c>
      <c r="F57" s="228" t="s">
        <v>674</v>
      </c>
      <c r="G57" s="307">
        <v>6.5</v>
      </c>
      <c r="H57" s="97" t="str">
        <f>VLOOKUP($F57,'Leistungswerte UHR Kigas'!$C$6:$F$27,3,FALSE)</f>
        <v>W5</v>
      </c>
      <c r="I57" s="98">
        <f>VLOOKUP(H57,Turnus!$H$9:$I$26,2,FALSE)</f>
        <v>230</v>
      </c>
      <c r="J57" s="127">
        <f t="shared" si="2"/>
        <v>1495</v>
      </c>
      <c r="K57" s="128">
        <f>VLOOKUP($F57,'Leistungswerte UHR Kigas'!$C$6:$F$27,4,FALSE)</f>
        <v>0</v>
      </c>
      <c r="L57" s="496" t="str">
        <f t="shared" si="8"/>
        <v/>
      </c>
      <c r="M57" s="129">
        <f t="shared" si="3"/>
        <v>0</v>
      </c>
      <c r="N57" s="547">
        <f t="shared" si="9"/>
        <v>0</v>
      </c>
      <c r="O57" s="130">
        <f t="shared" si="4"/>
        <v>0</v>
      </c>
      <c r="P57" s="131">
        <f t="shared" si="26"/>
        <v>0</v>
      </c>
      <c r="R57" s="481"/>
      <c r="S57" s="482"/>
      <c r="T57" s="482"/>
      <c r="U57" s="482"/>
      <c r="V57" s="482"/>
      <c r="W57" s="482"/>
      <c r="X57" s="482"/>
      <c r="Y57" s="482"/>
      <c r="Z57" s="482"/>
      <c r="AA57" s="482"/>
      <c r="AB57" s="482"/>
      <c r="AC57" s="482"/>
      <c r="AD57" s="482"/>
      <c r="AE57" s="482"/>
      <c r="AF57" s="482"/>
      <c r="AG57" s="482"/>
      <c r="AH57" s="482"/>
      <c r="AI57" s="482"/>
      <c r="AJ57" s="482"/>
      <c r="AK57" s="482"/>
      <c r="AL57" s="482"/>
      <c r="AM57" s="482"/>
      <c r="AN57" s="482"/>
      <c r="AO57" s="482"/>
      <c r="AP57" s="482"/>
      <c r="AQ57" s="482"/>
      <c r="AR57" s="482"/>
      <c r="AS57" s="482"/>
      <c r="AT57" s="482"/>
      <c r="AU57" s="482"/>
      <c r="AV57" s="482"/>
      <c r="AW57" s="483"/>
      <c r="AX57" s="484">
        <f t="shared" si="10"/>
        <v>0</v>
      </c>
      <c r="AY57" s="501" t="str">
        <f t="shared" si="27"/>
        <v/>
      </c>
      <c r="AZ57" s="488">
        <f t="shared" si="28"/>
        <v>0</v>
      </c>
    </row>
    <row r="58" spans="1:52" s="57" customFormat="1" ht="24.9" customHeight="1" x14ac:dyDescent="0.25">
      <c r="A58" s="588" t="s">
        <v>991</v>
      </c>
      <c r="B58" s="97" t="s">
        <v>111</v>
      </c>
      <c r="C58" s="303"/>
      <c r="D58" s="304" t="s">
        <v>631</v>
      </c>
      <c r="E58" s="305" t="s">
        <v>905</v>
      </c>
      <c r="F58" s="414" t="s">
        <v>892</v>
      </c>
      <c r="G58" s="307">
        <v>7.76</v>
      </c>
      <c r="H58" s="97" t="str">
        <f>VLOOKUP($F58,'Leistungswerte UHR Kigas'!$C$6:$F$27,3,FALSE)</f>
        <v>W5</v>
      </c>
      <c r="I58" s="98">
        <f>VLOOKUP(H58,Turnus!$H$9:$I$26,2,FALSE)</f>
        <v>230</v>
      </c>
      <c r="J58" s="127">
        <f t="shared" si="2"/>
        <v>1784.8</v>
      </c>
      <c r="K58" s="128">
        <f>VLOOKUP($F58,'Leistungswerte UHR Kigas'!$C$6:$F$27,4,FALSE)</f>
        <v>0</v>
      </c>
      <c r="L58" s="496" t="str">
        <f t="shared" si="8"/>
        <v/>
      </c>
      <c r="M58" s="129">
        <f t="shared" si="3"/>
        <v>0</v>
      </c>
      <c r="N58" s="547">
        <f t="shared" si="9"/>
        <v>0</v>
      </c>
      <c r="O58" s="130">
        <f t="shared" si="4"/>
        <v>0</v>
      </c>
      <c r="P58" s="131">
        <f t="shared" si="26"/>
        <v>0</v>
      </c>
      <c r="R58" s="481"/>
      <c r="S58" s="482"/>
      <c r="T58" s="482"/>
      <c r="U58" s="482"/>
      <c r="V58" s="482"/>
      <c r="W58" s="482"/>
      <c r="X58" s="482"/>
      <c r="Y58" s="482"/>
      <c r="Z58" s="482"/>
      <c r="AA58" s="482"/>
      <c r="AB58" s="482"/>
      <c r="AC58" s="482"/>
      <c r="AD58" s="482"/>
      <c r="AE58" s="482"/>
      <c r="AF58" s="482"/>
      <c r="AG58" s="482"/>
      <c r="AH58" s="482"/>
      <c r="AI58" s="482"/>
      <c r="AJ58" s="482"/>
      <c r="AK58" s="482"/>
      <c r="AL58" s="482"/>
      <c r="AM58" s="482"/>
      <c r="AN58" s="482"/>
      <c r="AO58" s="482"/>
      <c r="AP58" s="482"/>
      <c r="AQ58" s="482"/>
      <c r="AR58" s="482"/>
      <c r="AS58" s="482"/>
      <c r="AT58" s="482"/>
      <c r="AU58" s="482"/>
      <c r="AV58" s="482"/>
      <c r="AW58" s="483"/>
      <c r="AX58" s="484">
        <f t="shared" si="10"/>
        <v>0</v>
      </c>
      <c r="AY58" s="501" t="str">
        <f t="shared" si="27"/>
        <v/>
      </c>
      <c r="AZ58" s="488">
        <f t="shared" si="28"/>
        <v>0</v>
      </c>
    </row>
    <row r="59" spans="1:52" s="57" customFormat="1" ht="24.9" customHeight="1" x14ac:dyDescent="0.25">
      <c r="A59" s="588" t="s">
        <v>991</v>
      </c>
      <c r="B59" s="97" t="s">
        <v>111</v>
      </c>
      <c r="C59" s="303"/>
      <c r="D59" s="304" t="s">
        <v>653</v>
      </c>
      <c r="E59" s="305" t="s">
        <v>916</v>
      </c>
      <c r="F59" s="228" t="s">
        <v>670</v>
      </c>
      <c r="G59" s="307">
        <v>8.02</v>
      </c>
      <c r="H59" s="97" t="str">
        <f>VLOOKUP($F59,'Leistungswerte UHR Kigas'!$C$6:$F$27,3,FALSE)</f>
        <v>W5</v>
      </c>
      <c r="I59" s="98">
        <f>VLOOKUP(H59,Turnus!$H$9:$I$26,2,FALSE)</f>
        <v>230</v>
      </c>
      <c r="J59" s="127">
        <f t="shared" si="2"/>
        <v>1844.6</v>
      </c>
      <c r="K59" s="128">
        <f>VLOOKUP($F59,'Leistungswerte UHR Kigas'!$C$6:$F$27,4,FALSE)</f>
        <v>0</v>
      </c>
      <c r="L59" s="496" t="str">
        <f t="shared" si="8"/>
        <v/>
      </c>
      <c r="M59" s="129">
        <f t="shared" si="3"/>
        <v>0</v>
      </c>
      <c r="N59" s="547">
        <f t="shared" si="9"/>
        <v>0</v>
      </c>
      <c r="O59" s="130">
        <f t="shared" si="4"/>
        <v>0</v>
      </c>
      <c r="P59" s="131">
        <f t="shared" si="26"/>
        <v>0</v>
      </c>
      <c r="R59" s="481"/>
      <c r="S59" s="482"/>
      <c r="T59" s="482"/>
      <c r="U59" s="482"/>
      <c r="V59" s="482"/>
      <c r="W59" s="482"/>
      <c r="X59" s="482"/>
      <c r="Y59" s="482"/>
      <c r="Z59" s="482"/>
      <c r="AA59" s="482"/>
      <c r="AB59" s="482"/>
      <c r="AC59" s="482"/>
      <c r="AD59" s="482"/>
      <c r="AE59" s="482"/>
      <c r="AF59" s="482"/>
      <c r="AG59" s="482"/>
      <c r="AH59" s="482"/>
      <c r="AI59" s="482"/>
      <c r="AJ59" s="482"/>
      <c r="AK59" s="482"/>
      <c r="AL59" s="482"/>
      <c r="AM59" s="482"/>
      <c r="AN59" s="482"/>
      <c r="AO59" s="482"/>
      <c r="AP59" s="482"/>
      <c r="AQ59" s="482"/>
      <c r="AR59" s="482"/>
      <c r="AS59" s="482"/>
      <c r="AT59" s="482"/>
      <c r="AU59" s="482"/>
      <c r="AV59" s="482"/>
      <c r="AW59" s="483"/>
      <c r="AX59" s="484">
        <f t="shared" si="10"/>
        <v>0</v>
      </c>
      <c r="AY59" s="501" t="str">
        <f t="shared" si="27"/>
        <v/>
      </c>
      <c r="AZ59" s="488">
        <f t="shared" si="28"/>
        <v>0</v>
      </c>
    </row>
    <row r="60" spans="1:52" s="57" customFormat="1" ht="24.9" customHeight="1" x14ac:dyDescent="0.25">
      <c r="A60" s="588" t="s">
        <v>991</v>
      </c>
      <c r="B60" s="97" t="s">
        <v>111</v>
      </c>
      <c r="C60" s="303"/>
      <c r="D60" s="304" t="s">
        <v>654</v>
      </c>
      <c r="E60" s="305" t="s">
        <v>916</v>
      </c>
      <c r="F60" s="228" t="s">
        <v>670</v>
      </c>
      <c r="G60" s="307">
        <v>9.2100000000000009</v>
      </c>
      <c r="H60" s="97" t="str">
        <f>VLOOKUP($F60,'Leistungswerte UHR Kigas'!$C$6:$F$27,3,FALSE)</f>
        <v>W5</v>
      </c>
      <c r="I60" s="98">
        <f>VLOOKUP(H60,Turnus!$H$9:$I$26,2,FALSE)</f>
        <v>230</v>
      </c>
      <c r="J60" s="127">
        <f t="shared" si="2"/>
        <v>2118.3000000000002</v>
      </c>
      <c r="K60" s="128">
        <f>VLOOKUP($F60,'Leistungswerte UHR Kigas'!$C$6:$F$27,4,FALSE)</f>
        <v>0</v>
      </c>
      <c r="L60" s="496" t="str">
        <f t="shared" si="8"/>
        <v/>
      </c>
      <c r="M60" s="129">
        <f t="shared" si="3"/>
        <v>0</v>
      </c>
      <c r="N60" s="547">
        <f t="shared" si="9"/>
        <v>0</v>
      </c>
      <c r="O60" s="130">
        <f t="shared" si="4"/>
        <v>0</v>
      </c>
      <c r="P60" s="131">
        <f t="shared" si="26"/>
        <v>0</v>
      </c>
      <c r="R60" s="481"/>
      <c r="S60" s="482"/>
      <c r="T60" s="482"/>
      <c r="U60" s="482"/>
      <c r="V60" s="482"/>
      <c r="W60" s="482"/>
      <c r="X60" s="482"/>
      <c r="Y60" s="482"/>
      <c r="Z60" s="482"/>
      <c r="AA60" s="482"/>
      <c r="AB60" s="482"/>
      <c r="AC60" s="482"/>
      <c r="AD60" s="482"/>
      <c r="AE60" s="482"/>
      <c r="AF60" s="482"/>
      <c r="AG60" s="482"/>
      <c r="AH60" s="482"/>
      <c r="AI60" s="482"/>
      <c r="AJ60" s="482"/>
      <c r="AK60" s="482"/>
      <c r="AL60" s="482"/>
      <c r="AM60" s="482"/>
      <c r="AN60" s="482"/>
      <c r="AO60" s="482"/>
      <c r="AP60" s="482"/>
      <c r="AQ60" s="482"/>
      <c r="AR60" s="482"/>
      <c r="AS60" s="482"/>
      <c r="AT60" s="482"/>
      <c r="AU60" s="482"/>
      <c r="AV60" s="482"/>
      <c r="AW60" s="483"/>
      <c r="AX60" s="484">
        <f t="shared" si="10"/>
        <v>0</v>
      </c>
      <c r="AY60" s="501" t="str">
        <f t="shared" si="27"/>
        <v/>
      </c>
      <c r="AZ60" s="488">
        <f t="shared" si="28"/>
        <v>0</v>
      </c>
    </row>
    <row r="61" spans="1:52" s="57" customFormat="1" ht="24.9" customHeight="1" x14ac:dyDescent="0.25">
      <c r="A61" s="588" t="s">
        <v>991</v>
      </c>
      <c r="B61" s="97" t="s">
        <v>111</v>
      </c>
      <c r="C61" s="303"/>
      <c r="D61" s="304" t="s">
        <v>518</v>
      </c>
      <c r="E61" s="305" t="s">
        <v>905</v>
      </c>
      <c r="F61" s="228" t="s">
        <v>667</v>
      </c>
      <c r="G61" s="307">
        <v>21.72</v>
      </c>
      <c r="H61" s="97" t="str">
        <f>VLOOKUP($F61,'Leistungswerte UHR Kigas'!$C$6:$F$27,3,FALSE)</f>
        <v>W3</v>
      </c>
      <c r="I61" s="98">
        <f>VLOOKUP(H61,Turnus!$H$9:$I$26,2,FALSE)</f>
        <v>144</v>
      </c>
      <c r="J61" s="127">
        <f t="shared" si="2"/>
        <v>3127.68</v>
      </c>
      <c r="K61" s="128">
        <f>VLOOKUP($F61,'Leistungswerte UHR Kigas'!$C$6:$F$27,4,FALSE)</f>
        <v>0</v>
      </c>
      <c r="L61" s="496" t="str">
        <f t="shared" si="8"/>
        <v/>
      </c>
      <c r="M61" s="129">
        <f t="shared" si="3"/>
        <v>0</v>
      </c>
      <c r="N61" s="547">
        <f t="shared" si="9"/>
        <v>0</v>
      </c>
      <c r="O61" s="130">
        <f t="shared" si="4"/>
        <v>0</v>
      </c>
      <c r="P61" s="131">
        <f t="shared" si="26"/>
        <v>0</v>
      </c>
      <c r="R61" s="481"/>
      <c r="S61" s="482"/>
      <c r="T61" s="482"/>
      <c r="U61" s="482"/>
      <c r="V61" s="482"/>
      <c r="W61" s="482"/>
      <c r="X61" s="482"/>
      <c r="Y61" s="482"/>
      <c r="Z61" s="482"/>
      <c r="AA61" s="482"/>
      <c r="AB61" s="482"/>
      <c r="AC61" s="482"/>
      <c r="AD61" s="482"/>
      <c r="AE61" s="482"/>
      <c r="AF61" s="482"/>
      <c r="AG61" s="482"/>
      <c r="AH61" s="482"/>
      <c r="AI61" s="482"/>
      <c r="AJ61" s="482"/>
      <c r="AK61" s="482"/>
      <c r="AL61" s="482"/>
      <c r="AM61" s="482"/>
      <c r="AN61" s="482"/>
      <c r="AO61" s="482"/>
      <c r="AP61" s="482"/>
      <c r="AQ61" s="482"/>
      <c r="AR61" s="482"/>
      <c r="AS61" s="482"/>
      <c r="AT61" s="482"/>
      <c r="AU61" s="482"/>
      <c r="AV61" s="482"/>
      <c r="AW61" s="483"/>
      <c r="AX61" s="484">
        <f t="shared" si="10"/>
        <v>0</v>
      </c>
      <c r="AY61" s="501" t="str">
        <f t="shared" si="27"/>
        <v/>
      </c>
      <c r="AZ61" s="488">
        <f t="shared" si="28"/>
        <v>0</v>
      </c>
    </row>
    <row r="62" spans="1:52" s="57" customFormat="1" ht="24.9" customHeight="1" x14ac:dyDescent="0.25">
      <c r="A62" s="588" t="s">
        <v>991</v>
      </c>
      <c r="B62" s="97" t="s">
        <v>111</v>
      </c>
      <c r="C62" s="303"/>
      <c r="D62" s="304" t="s">
        <v>655</v>
      </c>
      <c r="E62" s="305" t="s">
        <v>905</v>
      </c>
      <c r="F62" s="228" t="s">
        <v>676</v>
      </c>
      <c r="G62" s="307">
        <v>6.94</v>
      </c>
      <c r="H62" s="97" t="str">
        <f>VLOOKUP($F62,'Leistungswerte UHR Kigas'!$C$6:$F$27,3,FALSE)</f>
        <v>W5</v>
      </c>
      <c r="I62" s="98">
        <f>VLOOKUP(H62,Turnus!$H$9:$I$26,2,FALSE)</f>
        <v>230</v>
      </c>
      <c r="J62" s="127">
        <f t="shared" si="2"/>
        <v>1596.2</v>
      </c>
      <c r="K62" s="128">
        <f>VLOOKUP($F62,'Leistungswerte UHR Kigas'!$C$6:$F$27,4,FALSE)</f>
        <v>0</v>
      </c>
      <c r="L62" s="496" t="str">
        <f t="shared" si="8"/>
        <v/>
      </c>
      <c r="M62" s="129">
        <f t="shared" si="3"/>
        <v>0</v>
      </c>
      <c r="N62" s="547">
        <f t="shared" si="9"/>
        <v>0</v>
      </c>
      <c r="O62" s="130">
        <f t="shared" si="4"/>
        <v>0</v>
      </c>
      <c r="P62" s="131">
        <f t="shared" si="26"/>
        <v>0</v>
      </c>
      <c r="R62" s="481"/>
      <c r="S62" s="482"/>
      <c r="T62" s="482"/>
      <c r="U62" s="482"/>
      <c r="V62" s="482"/>
      <c r="W62" s="482"/>
      <c r="X62" s="482"/>
      <c r="Y62" s="482"/>
      <c r="Z62" s="482"/>
      <c r="AA62" s="482"/>
      <c r="AB62" s="482"/>
      <c r="AC62" s="482"/>
      <c r="AD62" s="482"/>
      <c r="AE62" s="482"/>
      <c r="AF62" s="482"/>
      <c r="AG62" s="482"/>
      <c r="AH62" s="482"/>
      <c r="AI62" s="482"/>
      <c r="AJ62" s="482"/>
      <c r="AK62" s="482"/>
      <c r="AL62" s="482"/>
      <c r="AM62" s="482"/>
      <c r="AN62" s="482"/>
      <c r="AO62" s="482"/>
      <c r="AP62" s="482"/>
      <c r="AQ62" s="482"/>
      <c r="AR62" s="482"/>
      <c r="AS62" s="482"/>
      <c r="AT62" s="482"/>
      <c r="AU62" s="482"/>
      <c r="AV62" s="482"/>
      <c r="AW62" s="483"/>
      <c r="AX62" s="484">
        <f t="shared" si="10"/>
        <v>0</v>
      </c>
      <c r="AY62" s="501" t="str">
        <f t="shared" si="27"/>
        <v/>
      </c>
      <c r="AZ62" s="488">
        <f t="shared" si="28"/>
        <v>0</v>
      </c>
    </row>
    <row r="63" spans="1:52" s="57" customFormat="1" ht="24.9" customHeight="1" x14ac:dyDescent="0.25">
      <c r="A63" s="588" t="s">
        <v>991</v>
      </c>
      <c r="B63" s="97" t="s">
        <v>111</v>
      </c>
      <c r="C63" s="303"/>
      <c r="D63" s="304" t="s">
        <v>700</v>
      </c>
      <c r="E63" s="305" t="s">
        <v>905</v>
      </c>
      <c r="F63" s="228" t="s">
        <v>710</v>
      </c>
      <c r="G63" s="307">
        <v>20.43</v>
      </c>
      <c r="H63" s="97" t="str">
        <f>VLOOKUP($F63,'Leistungswerte UHR Kigas'!$C$6:$F$27,3,FALSE)</f>
        <v>W5</v>
      </c>
      <c r="I63" s="98">
        <f>VLOOKUP(H63,Turnus!$H$9:$I$26,2,FALSE)</f>
        <v>230</v>
      </c>
      <c r="J63" s="127">
        <f t="shared" si="2"/>
        <v>4698.8999999999996</v>
      </c>
      <c r="K63" s="128">
        <f>VLOOKUP($F63,'Leistungswerte UHR Kigas'!$C$6:$F$27,4,FALSE)</f>
        <v>0</v>
      </c>
      <c r="L63" s="496" t="str">
        <f t="shared" si="8"/>
        <v/>
      </c>
      <c r="M63" s="129">
        <f t="shared" si="3"/>
        <v>0</v>
      </c>
      <c r="N63" s="547">
        <f t="shared" si="9"/>
        <v>0</v>
      </c>
      <c r="O63" s="130">
        <f t="shared" si="4"/>
        <v>0</v>
      </c>
      <c r="P63" s="131">
        <f t="shared" si="26"/>
        <v>0</v>
      </c>
      <c r="R63" s="481"/>
      <c r="S63" s="482"/>
      <c r="T63" s="482"/>
      <c r="U63" s="482"/>
      <c r="V63" s="482"/>
      <c r="W63" s="482"/>
      <c r="X63" s="482"/>
      <c r="Y63" s="482"/>
      <c r="Z63" s="482"/>
      <c r="AA63" s="482"/>
      <c r="AB63" s="482"/>
      <c r="AC63" s="482"/>
      <c r="AD63" s="482"/>
      <c r="AE63" s="482"/>
      <c r="AF63" s="482"/>
      <c r="AG63" s="482"/>
      <c r="AH63" s="482"/>
      <c r="AI63" s="482"/>
      <c r="AJ63" s="482"/>
      <c r="AK63" s="482"/>
      <c r="AL63" s="482"/>
      <c r="AM63" s="482"/>
      <c r="AN63" s="482"/>
      <c r="AO63" s="482"/>
      <c r="AP63" s="482"/>
      <c r="AQ63" s="482"/>
      <c r="AR63" s="482"/>
      <c r="AS63" s="482"/>
      <c r="AT63" s="482"/>
      <c r="AU63" s="482"/>
      <c r="AV63" s="482"/>
      <c r="AW63" s="483"/>
      <c r="AX63" s="484">
        <f t="shared" si="10"/>
        <v>0</v>
      </c>
      <c r="AY63" s="501" t="str">
        <f t="shared" si="27"/>
        <v/>
      </c>
      <c r="AZ63" s="488">
        <f t="shared" si="28"/>
        <v>0</v>
      </c>
    </row>
    <row r="64" spans="1:52" s="57" customFormat="1" ht="24.9" customHeight="1" x14ac:dyDescent="0.25">
      <c r="A64" s="588" t="s">
        <v>991</v>
      </c>
      <c r="B64" s="97" t="s">
        <v>111</v>
      </c>
      <c r="C64" s="97"/>
      <c r="D64" s="304" t="s">
        <v>252</v>
      </c>
      <c r="E64" s="305" t="s">
        <v>905</v>
      </c>
      <c r="F64" s="228" t="s">
        <v>666</v>
      </c>
      <c r="G64" s="127">
        <v>4.25</v>
      </c>
      <c r="H64" s="97" t="str">
        <f>VLOOKUP($F64,'Leistungswerte UHR Kigas'!$C$6:$F$27,3,FALSE)</f>
        <v>W5</v>
      </c>
      <c r="I64" s="98">
        <f>VLOOKUP(H64,Turnus!$H$9:$I$26,2,FALSE)</f>
        <v>230</v>
      </c>
      <c r="J64" s="127">
        <f t="shared" si="2"/>
        <v>977.5</v>
      </c>
      <c r="K64" s="128">
        <f>VLOOKUP($F64,'Leistungswerte UHR Kigas'!$C$6:$F$27,4,FALSE)</f>
        <v>0</v>
      </c>
      <c r="L64" s="496" t="str">
        <f t="shared" si="8"/>
        <v/>
      </c>
      <c r="M64" s="129">
        <f t="shared" si="3"/>
        <v>0</v>
      </c>
      <c r="N64" s="547">
        <f t="shared" si="9"/>
        <v>0</v>
      </c>
      <c r="O64" s="130">
        <f t="shared" si="4"/>
        <v>0</v>
      </c>
      <c r="P64" s="131">
        <f t="shared" si="26"/>
        <v>0</v>
      </c>
      <c r="R64" s="481"/>
      <c r="S64" s="482"/>
      <c r="T64" s="482"/>
      <c r="U64" s="482"/>
      <c r="V64" s="482"/>
      <c r="W64" s="482"/>
      <c r="X64" s="482"/>
      <c r="Y64" s="482"/>
      <c r="Z64" s="482"/>
      <c r="AA64" s="482"/>
      <c r="AB64" s="482"/>
      <c r="AC64" s="482"/>
      <c r="AD64" s="482"/>
      <c r="AE64" s="482"/>
      <c r="AF64" s="482"/>
      <c r="AG64" s="482"/>
      <c r="AH64" s="482"/>
      <c r="AI64" s="482"/>
      <c r="AJ64" s="482"/>
      <c r="AK64" s="482"/>
      <c r="AL64" s="482"/>
      <c r="AM64" s="482"/>
      <c r="AN64" s="482"/>
      <c r="AO64" s="482"/>
      <c r="AP64" s="482"/>
      <c r="AQ64" s="482"/>
      <c r="AR64" s="482"/>
      <c r="AS64" s="482"/>
      <c r="AT64" s="482"/>
      <c r="AU64" s="482"/>
      <c r="AV64" s="482"/>
      <c r="AW64" s="483"/>
      <c r="AX64" s="484">
        <f t="shared" si="10"/>
        <v>0</v>
      </c>
      <c r="AY64" s="501" t="str">
        <f t="shared" si="27"/>
        <v/>
      </c>
      <c r="AZ64" s="488">
        <f t="shared" si="28"/>
        <v>0</v>
      </c>
    </row>
    <row r="65" spans="1:52" s="57" customFormat="1" ht="24.9" customHeight="1" x14ac:dyDescent="0.25">
      <c r="A65" s="588" t="s">
        <v>991</v>
      </c>
      <c r="B65" s="97" t="s">
        <v>111</v>
      </c>
      <c r="C65" s="97"/>
      <c r="D65" s="145" t="s">
        <v>105</v>
      </c>
      <c r="E65" s="305" t="s">
        <v>916</v>
      </c>
      <c r="F65" s="228" t="s">
        <v>683</v>
      </c>
      <c r="G65" s="127">
        <v>17.3</v>
      </c>
      <c r="H65" s="97" t="str">
        <f>VLOOKUP($F65,'Leistungswerte UHR Kigas'!$C$6:$F$27,3,FALSE)</f>
        <v>W5</v>
      </c>
      <c r="I65" s="98">
        <f>VLOOKUP(H65,Turnus!$H$9:$I$26,2,FALSE)</f>
        <v>230</v>
      </c>
      <c r="J65" s="127">
        <f t="shared" si="2"/>
        <v>3979</v>
      </c>
      <c r="K65" s="128">
        <f>VLOOKUP($F65,'Leistungswerte UHR Kigas'!$C$6:$F$27,4,FALSE)</f>
        <v>0</v>
      </c>
      <c r="L65" s="496" t="str">
        <f t="shared" si="8"/>
        <v/>
      </c>
      <c r="M65" s="129">
        <f t="shared" si="3"/>
        <v>0</v>
      </c>
      <c r="N65" s="547">
        <f t="shared" si="9"/>
        <v>0</v>
      </c>
      <c r="O65" s="130">
        <f t="shared" si="4"/>
        <v>0</v>
      </c>
      <c r="P65" s="131">
        <f t="shared" si="26"/>
        <v>0</v>
      </c>
      <c r="R65" s="481"/>
      <c r="S65" s="482"/>
      <c r="T65" s="482"/>
      <c r="U65" s="482"/>
      <c r="V65" s="482"/>
      <c r="W65" s="482"/>
      <c r="X65" s="482"/>
      <c r="Y65" s="482"/>
      <c r="Z65" s="482"/>
      <c r="AA65" s="482"/>
      <c r="AB65" s="482"/>
      <c r="AC65" s="482"/>
      <c r="AD65" s="482"/>
      <c r="AE65" s="482"/>
      <c r="AF65" s="482"/>
      <c r="AG65" s="482"/>
      <c r="AH65" s="482"/>
      <c r="AI65" s="482"/>
      <c r="AJ65" s="482"/>
      <c r="AK65" s="482"/>
      <c r="AL65" s="482"/>
      <c r="AM65" s="482"/>
      <c r="AN65" s="482"/>
      <c r="AO65" s="482"/>
      <c r="AP65" s="482"/>
      <c r="AQ65" s="482"/>
      <c r="AR65" s="482"/>
      <c r="AS65" s="482"/>
      <c r="AT65" s="482"/>
      <c r="AU65" s="482"/>
      <c r="AV65" s="482"/>
      <c r="AW65" s="483"/>
      <c r="AX65" s="484">
        <f t="shared" si="10"/>
        <v>0</v>
      </c>
      <c r="AY65" s="501" t="str">
        <f t="shared" si="27"/>
        <v/>
      </c>
      <c r="AZ65" s="488">
        <f t="shared" si="28"/>
        <v>0</v>
      </c>
    </row>
    <row r="66" spans="1:52" s="57" customFormat="1" ht="24.9" customHeight="1" x14ac:dyDescent="0.25">
      <c r="A66" s="588" t="s">
        <v>991</v>
      </c>
      <c r="B66" s="97" t="s">
        <v>111</v>
      </c>
      <c r="C66" s="97"/>
      <c r="D66" s="145" t="s">
        <v>268</v>
      </c>
      <c r="E66" s="305" t="s">
        <v>905</v>
      </c>
      <c r="F66" s="414" t="s">
        <v>892</v>
      </c>
      <c r="G66" s="127">
        <v>8.3000000000000007</v>
      </c>
      <c r="H66" s="97" t="str">
        <f>VLOOKUP($F66,'Leistungswerte UHR Kigas'!$C$6:$F$27,3,FALSE)</f>
        <v>W5</v>
      </c>
      <c r="I66" s="98">
        <f>VLOOKUP(H66,Turnus!$H$9:$I$26,2,FALSE)</f>
        <v>230</v>
      </c>
      <c r="J66" s="127">
        <f t="shared" si="2"/>
        <v>1909.0000000000002</v>
      </c>
      <c r="K66" s="128">
        <f>VLOOKUP($F66,'Leistungswerte UHR Kigas'!$C$6:$F$27,4,FALSE)</f>
        <v>0</v>
      </c>
      <c r="L66" s="496" t="str">
        <f t="shared" si="8"/>
        <v/>
      </c>
      <c r="M66" s="129">
        <f t="shared" si="3"/>
        <v>0</v>
      </c>
      <c r="N66" s="547">
        <f t="shared" si="9"/>
        <v>0</v>
      </c>
      <c r="O66" s="130">
        <f t="shared" si="4"/>
        <v>0</v>
      </c>
      <c r="P66" s="131">
        <f t="shared" si="26"/>
        <v>0</v>
      </c>
      <c r="R66" s="481"/>
      <c r="S66" s="482"/>
      <c r="T66" s="482"/>
      <c r="U66" s="482"/>
      <c r="V66" s="482"/>
      <c r="W66" s="482"/>
      <c r="X66" s="482"/>
      <c r="Y66" s="482"/>
      <c r="Z66" s="482"/>
      <c r="AA66" s="482"/>
      <c r="AB66" s="482"/>
      <c r="AC66" s="482"/>
      <c r="AD66" s="482"/>
      <c r="AE66" s="482"/>
      <c r="AF66" s="482"/>
      <c r="AG66" s="482"/>
      <c r="AH66" s="482"/>
      <c r="AI66" s="482"/>
      <c r="AJ66" s="482"/>
      <c r="AK66" s="482"/>
      <c r="AL66" s="482"/>
      <c r="AM66" s="482"/>
      <c r="AN66" s="482"/>
      <c r="AO66" s="482"/>
      <c r="AP66" s="482"/>
      <c r="AQ66" s="482"/>
      <c r="AR66" s="482"/>
      <c r="AS66" s="482"/>
      <c r="AT66" s="482"/>
      <c r="AU66" s="482"/>
      <c r="AV66" s="482"/>
      <c r="AW66" s="483"/>
      <c r="AX66" s="484">
        <f t="shared" si="10"/>
        <v>0</v>
      </c>
      <c r="AY66" s="501" t="str">
        <f t="shared" si="27"/>
        <v/>
      </c>
      <c r="AZ66" s="488">
        <f t="shared" si="28"/>
        <v>0</v>
      </c>
    </row>
    <row r="67" spans="1:52" s="57" customFormat="1" ht="24.9" customHeight="1" x14ac:dyDescent="0.25">
      <c r="A67" s="588" t="s">
        <v>991</v>
      </c>
      <c r="B67" s="97" t="s">
        <v>111</v>
      </c>
      <c r="C67" s="97"/>
      <c r="D67" s="145" t="s">
        <v>262</v>
      </c>
      <c r="E67" s="305" t="s">
        <v>916</v>
      </c>
      <c r="F67" s="228" t="s">
        <v>670</v>
      </c>
      <c r="G67" s="127">
        <v>9.68</v>
      </c>
      <c r="H67" s="97" t="str">
        <f>VLOOKUP($F67,'Leistungswerte UHR Kigas'!$C$6:$F$27,3,FALSE)</f>
        <v>W5</v>
      </c>
      <c r="I67" s="98">
        <f>VLOOKUP(H67,Turnus!$H$9:$I$26,2,FALSE)</f>
        <v>230</v>
      </c>
      <c r="J67" s="127">
        <f t="shared" si="2"/>
        <v>2226.4</v>
      </c>
      <c r="K67" s="128">
        <f>VLOOKUP($F67,'Leistungswerte UHR Kigas'!$C$6:$F$27,4,FALSE)</f>
        <v>0</v>
      </c>
      <c r="L67" s="496" t="str">
        <f t="shared" si="8"/>
        <v/>
      </c>
      <c r="M67" s="129">
        <f t="shared" si="3"/>
        <v>0</v>
      </c>
      <c r="N67" s="547">
        <f t="shared" si="9"/>
        <v>0</v>
      </c>
      <c r="O67" s="130">
        <f t="shared" si="4"/>
        <v>0</v>
      </c>
      <c r="P67" s="131">
        <f t="shared" si="26"/>
        <v>0</v>
      </c>
      <c r="R67" s="481"/>
      <c r="S67" s="482"/>
      <c r="T67" s="482"/>
      <c r="U67" s="482"/>
      <c r="V67" s="482"/>
      <c r="W67" s="482"/>
      <c r="X67" s="482"/>
      <c r="Y67" s="482"/>
      <c r="Z67" s="482"/>
      <c r="AA67" s="482"/>
      <c r="AB67" s="482"/>
      <c r="AC67" s="482"/>
      <c r="AD67" s="482"/>
      <c r="AE67" s="482"/>
      <c r="AF67" s="482"/>
      <c r="AG67" s="482"/>
      <c r="AH67" s="482"/>
      <c r="AI67" s="482"/>
      <c r="AJ67" s="482"/>
      <c r="AK67" s="482"/>
      <c r="AL67" s="482"/>
      <c r="AM67" s="482"/>
      <c r="AN67" s="482"/>
      <c r="AO67" s="482"/>
      <c r="AP67" s="482"/>
      <c r="AQ67" s="482"/>
      <c r="AR67" s="482"/>
      <c r="AS67" s="482"/>
      <c r="AT67" s="482"/>
      <c r="AU67" s="482"/>
      <c r="AV67" s="482"/>
      <c r="AW67" s="483"/>
      <c r="AX67" s="484">
        <f t="shared" si="10"/>
        <v>0</v>
      </c>
      <c r="AY67" s="501" t="str">
        <f t="shared" si="27"/>
        <v/>
      </c>
      <c r="AZ67" s="488">
        <f t="shared" si="28"/>
        <v>0</v>
      </c>
    </row>
    <row r="68" spans="1:52" s="57" customFormat="1" ht="24.9" customHeight="1" x14ac:dyDescent="0.25">
      <c r="A68" s="588" t="s">
        <v>991</v>
      </c>
      <c r="B68" s="97" t="s">
        <v>111</v>
      </c>
      <c r="C68" s="97"/>
      <c r="D68" s="304" t="s">
        <v>656</v>
      </c>
      <c r="E68" s="305" t="s">
        <v>906</v>
      </c>
      <c r="F68" s="228" t="s">
        <v>688</v>
      </c>
      <c r="G68" s="307">
        <v>11.41</v>
      </c>
      <c r="H68" s="97" t="str">
        <f>VLOOKUP($F68,'Leistungswerte UHR Kigas'!$C$6:$F$27,3,FALSE)</f>
        <v>W1</v>
      </c>
      <c r="I68" s="98">
        <f>VLOOKUP(H68,Turnus!$H$9:$I$26,2,FALSE)</f>
        <v>48</v>
      </c>
      <c r="J68" s="127">
        <f t="shared" si="2"/>
        <v>547.68000000000006</v>
      </c>
      <c r="K68" s="128">
        <f>VLOOKUP($F68,'Leistungswerte UHR Kigas'!$C$6:$F$27,4,FALSE)</f>
        <v>0</v>
      </c>
      <c r="L68" s="496" t="str">
        <f t="shared" si="8"/>
        <v/>
      </c>
      <c r="M68" s="129">
        <f t="shared" si="3"/>
        <v>0</v>
      </c>
      <c r="N68" s="547">
        <f t="shared" si="9"/>
        <v>0</v>
      </c>
      <c r="O68" s="130">
        <f t="shared" si="4"/>
        <v>0</v>
      </c>
      <c r="P68" s="131">
        <f t="shared" si="26"/>
        <v>0</v>
      </c>
      <c r="R68" s="481"/>
      <c r="S68" s="482"/>
      <c r="T68" s="482"/>
      <c r="U68" s="482"/>
      <c r="V68" s="482"/>
      <c r="W68" s="482"/>
      <c r="X68" s="482"/>
      <c r="Y68" s="482"/>
      <c r="Z68" s="482"/>
      <c r="AA68" s="482"/>
      <c r="AB68" s="482"/>
      <c r="AC68" s="482"/>
      <c r="AD68" s="482"/>
      <c r="AE68" s="482"/>
      <c r="AF68" s="482"/>
      <c r="AG68" s="482"/>
      <c r="AH68" s="482"/>
      <c r="AI68" s="482"/>
      <c r="AJ68" s="482"/>
      <c r="AK68" s="482"/>
      <c r="AL68" s="482"/>
      <c r="AM68" s="482"/>
      <c r="AN68" s="482"/>
      <c r="AO68" s="482"/>
      <c r="AP68" s="482"/>
      <c r="AQ68" s="482"/>
      <c r="AR68" s="482"/>
      <c r="AS68" s="482"/>
      <c r="AT68" s="482"/>
      <c r="AU68" s="482"/>
      <c r="AV68" s="482"/>
      <c r="AW68" s="483"/>
      <c r="AX68" s="484">
        <f t="shared" si="10"/>
        <v>0</v>
      </c>
      <c r="AY68" s="501" t="str">
        <f t="shared" si="27"/>
        <v/>
      </c>
      <c r="AZ68" s="488">
        <f t="shared" si="28"/>
        <v>0</v>
      </c>
    </row>
    <row r="69" spans="1:52" s="57" customFormat="1" ht="24.9" customHeight="1" x14ac:dyDescent="0.25">
      <c r="A69" s="588" t="s">
        <v>991</v>
      </c>
      <c r="B69" s="97" t="s">
        <v>111</v>
      </c>
      <c r="C69" s="97"/>
      <c r="D69" s="304" t="s">
        <v>701</v>
      </c>
      <c r="E69" s="305"/>
      <c r="F69" s="228" t="s">
        <v>708</v>
      </c>
      <c r="G69" s="307">
        <v>5.52</v>
      </c>
      <c r="H69" s="97" t="str">
        <f>VLOOKUP($F69,'Leistungswerte UHR Kigas'!$C$6:$F$27,3,FALSE)</f>
        <v>kR</v>
      </c>
      <c r="I69" s="98">
        <f>VLOOKUP(H69,Turnus!$H$9:$I$26,2,FALSE)</f>
        <v>0</v>
      </c>
      <c r="J69" s="127">
        <f t="shared" ref="J69" si="30">+G69*I69</f>
        <v>0</v>
      </c>
      <c r="K69" s="128">
        <f>VLOOKUP($F69,'Leistungswerte UHR Kigas'!$C$6:$F$27,4,FALSE)</f>
        <v>0</v>
      </c>
      <c r="L69" s="496" t="str">
        <f t="shared" si="8"/>
        <v/>
      </c>
      <c r="M69" s="129">
        <f t="shared" ref="M69" si="31">IF(ISERROR(J69/K69),0,J69/K69)</f>
        <v>0</v>
      </c>
      <c r="N69" s="547">
        <f t="shared" si="9"/>
        <v>0</v>
      </c>
      <c r="O69" s="130">
        <f t="shared" ref="O69" si="32">IF(ISERROR(G69/K69*N69),0,G69/K69*N69)</f>
        <v>0</v>
      </c>
      <c r="P69" s="131">
        <f t="shared" si="26"/>
        <v>0</v>
      </c>
      <c r="R69" s="481"/>
      <c r="S69" s="482"/>
      <c r="T69" s="482"/>
      <c r="U69" s="482"/>
      <c r="V69" s="482"/>
      <c r="W69" s="482"/>
      <c r="X69" s="482"/>
      <c r="Y69" s="482"/>
      <c r="Z69" s="482"/>
      <c r="AA69" s="482"/>
      <c r="AB69" s="482"/>
      <c r="AC69" s="482"/>
      <c r="AD69" s="482"/>
      <c r="AE69" s="482"/>
      <c r="AF69" s="482"/>
      <c r="AG69" s="482"/>
      <c r="AH69" s="482"/>
      <c r="AI69" s="482"/>
      <c r="AJ69" s="482"/>
      <c r="AK69" s="482"/>
      <c r="AL69" s="482"/>
      <c r="AM69" s="482"/>
      <c r="AN69" s="482"/>
      <c r="AO69" s="482"/>
      <c r="AP69" s="482"/>
      <c r="AQ69" s="482"/>
      <c r="AR69" s="482"/>
      <c r="AS69" s="482"/>
      <c r="AT69" s="482"/>
      <c r="AU69" s="482"/>
      <c r="AV69" s="482"/>
      <c r="AW69" s="483"/>
      <c r="AX69" s="484">
        <f t="shared" si="10"/>
        <v>0</v>
      </c>
      <c r="AY69" s="501" t="str">
        <f t="shared" si="27"/>
        <v/>
      </c>
      <c r="AZ69" s="488">
        <f t="shared" si="28"/>
        <v>0</v>
      </c>
    </row>
    <row r="70" spans="1:52" s="57" customFormat="1" ht="24.9" customHeight="1" x14ac:dyDescent="0.25">
      <c r="A70" s="588" t="s">
        <v>991</v>
      </c>
      <c r="B70" s="97" t="s">
        <v>111</v>
      </c>
      <c r="C70" s="97"/>
      <c r="D70" s="304" t="s">
        <v>657</v>
      </c>
      <c r="E70" s="305" t="s">
        <v>906</v>
      </c>
      <c r="F70" s="228" t="s">
        <v>688</v>
      </c>
      <c r="G70" s="307">
        <v>15.5</v>
      </c>
      <c r="H70" s="97" t="str">
        <f>VLOOKUP($F70,'Leistungswerte UHR Kigas'!$C$6:$F$27,3,FALSE)</f>
        <v>W1</v>
      </c>
      <c r="I70" s="98">
        <f>VLOOKUP(H70,Turnus!$H$9:$I$26,2,FALSE)</f>
        <v>48</v>
      </c>
      <c r="J70" s="127">
        <f t="shared" si="2"/>
        <v>744</v>
      </c>
      <c r="K70" s="128">
        <f>VLOOKUP($F70,'Leistungswerte UHR Kigas'!$C$6:$F$27,4,FALSE)</f>
        <v>0</v>
      </c>
      <c r="L70" s="496" t="str">
        <f t="shared" si="8"/>
        <v/>
      </c>
      <c r="M70" s="129">
        <f t="shared" si="3"/>
        <v>0</v>
      </c>
      <c r="N70" s="547">
        <f t="shared" si="9"/>
        <v>0</v>
      </c>
      <c r="O70" s="130">
        <f t="shared" si="4"/>
        <v>0</v>
      </c>
      <c r="P70" s="131">
        <f t="shared" si="26"/>
        <v>0</v>
      </c>
      <c r="R70" s="481"/>
      <c r="S70" s="482"/>
      <c r="T70" s="482"/>
      <c r="U70" s="482"/>
      <c r="V70" s="482"/>
      <c r="W70" s="482"/>
      <c r="X70" s="482"/>
      <c r="Y70" s="482"/>
      <c r="Z70" s="482"/>
      <c r="AA70" s="482"/>
      <c r="AB70" s="482"/>
      <c r="AC70" s="482"/>
      <c r="AD70" s="482"/>
      <c r="AE70" s="482"/>
      <c r="AF70" s="482"/>
      <c r="AG70" s="482"/>
      <c r="AH70" s="482"/>
      <c r="AI70" s="482"/>
      <c r="AJ70" s="482"/>
      <c r="AK70" s="482"/>
      <c r="AL70" s="482"/>
      <c r="AM70" s="482"/>
      <c r="AN70" s="482"/>
      <c r="AO70" s="482"/>
      <c r="AP70" s="482"/>
      <c r="AQ70" s="482"/>
      <c r="AR70" s="482"/>
      <c r="AS70" s="482"/>
      <c r="AT70" s="482"/>
      <c r="AU70" s="482"/>
      <c r="AV70" s="482"/>
      <c r="AW70" s="483"/>
      <c r="AX70" s="484">
        <f t="shared" si="10"/>
        <v>0</v>
      </c>
      <c r="AY70" s="501" t="str">
        <f t="shared" si="27"/>
        <v/>
      </c>
      <c r="AZ70" s="488">
        <f t="shared" si="28"/>
        <v>0</v>
      </c>
    </row>
    <row r="71" spans="1:52" s="57" customFormat="1" ht="24.9" customHeight="1" x14ac:dyDescent="0.25">
      <c r="A71" s="588" t="s">
        <v>991</v>
      </c>
      <c r="B71" s="97" t="s">
        <v>111</v>
      </c>
      <c r="C71" s="97"/>
      <c r="D71" s="304" t="s">
        <v>658</v>
      </c>
      <c r="E71" s="305" t="s">
        <v>906</v>
      </c>
      <c r="F71" s="228" t="s">
        <v>689</v>
      </c>
      <c r="G71" s="307">
        <v>18.600000000000001</v>
      </c>
      <c r="H71" s="97" t="str">
        <f>VLOOKUP($F71,'Leistungswerte UHR Kigas'!$C$6:$F$27,3,FALSE)</f>
        <v>M1</v>
      </c>
      <c r="I71" s="98">
        <f>VLOOKUP(H71,Turnus!$H$9:$I$26,2,FALSE)</f>
        <v>12</v>
      </c>
      <c r="J71" s="127">
        <f t="shared" si="2"/>
        <v>223.20000000000002</v>
      </c>
      <c r="K71" s="128">
        <f>VLOOKUP($F71,'Leistungswerte UHR Kigas'!$C$6:$F$27,4,FALSE)</f>
        <v>0</v>
      </c>
      <c r="L71" s="496" t="str">
        <f t="shared" si="8"/>
        <v/>
      </c>
      <c r="M71" s="129">
        <f t="shared" si="3"/>
        <v>0</v>
      </c>
      <c r="N71" s="547">
        <f t="shared" si="9"/>
        <v>0</v>
      </c>
      <c r="O71" s="130">
        <f t="shared" si="4"/>
        <v>0</v>
      </c>
      <c r="P71" s="131">
        <f t="shared" si="26"/>
        <v>0</v>
      </c>
      <c r="R71" s="481"/>
      <c r="S71" s="482"/>
      <c r="T71" s="482"/>
      <c r="U71" s="482"/>
      <c r="V71" s="482"/>
      <c r="W71" s="482"/>
      <c r="X71" s="482"/>
      <c r="Y71" s="482"/>
      <c r="Z71" s="482"/>
      <c r="AA71" s="482"/>
      <c r="AB71" s="482"/>
      <c r="AC71" s="482"/>
      <c r="AD71" s="482"/>
      <c r="AE71" s="482"/>
      <c r="AF71" s="482"/>
      <c r="AG71" s="482"/>
      <c r="AH71" s="482"/>
      <c r="AI71" s="482"/>
      <c r="AJ71" s="482"/>
      <c r="AK71" s="482"/>
      <c r="AL71" s="482"/>
      <c r="AM71" s="482"/>
      <c r="AN71" s="482"/>
      <c r="AO71" s="482"/>
      <c r="AP71" s="482"/>
      <c r="AQ71" s="482"/>
      <c r="AR71" s="482"/>
      <c r="AS71" s="482"/>
      <c r="AT71" s="482"/>
      <c r="AU71" s="482"/>
      <c r="AV71" s="482"/>
      <c r="AW71" s="483"/>
      <c r="AX71" s="484">
        <f t="shared" si="10"/>
        <v>0</v>
      </c>
      <c r="AY71" s="501" t="str">
        <f t="shared" si="27"/>
        <v/>
      </c>
      <c r="AZ71" s="488">
        <f t="shared" si="28"/>
        <v>0</v>
      </c>
    </row>
    <row r="72" spans="1:52" s="57" customFormat="1" ht="24.9" customHeight="1" x14ac:dyDescent="0.25">
      <c r="A72" s="588" t="s">
        <v>991</v>
      </c>
      <c r="B72" s="97" t="s">
        <v>364</v>
      </c>
      <c r="C72" s="97"/>
      <c r="D72" s="304" t="s">
        <v>707</v>
      </c>
      <c r="E72" s="305"/>
      <c r="F72" s="228" t="s">
        <v>709</v>
      </c>
      <c r="G72" s="127">
        <v>30</v>
      </c>
      <c r="H72" s="97" t="str">
        <f>VLOOKUP($F72,'Leistungswerte UHR Kigas'!$C$6:$F$27,3,FALSE)</f>
        <v>J1</v>
      </c>
      <c r="I72" s="98">
        <f>VLOOKUP(H72,Turnus!$H$9:$I$26,2,FALSE)</f>
        <v>1</v>
      </c>
      <c r="J72" s="127">
        <f t="shared" ref="J72" si="33">+G72*I72</f>
        <v>30</v>
      </c>
      <c r="K72" s="128">
        <f>VLOOKUP($F72,'Leistungswerte UHR Kigas'!$C$6:$F$27,4,FALSE)</f>
        <v>0</v>
      </c>
      <c r="L72" s="496" t="str">
        <f t="shared" si="8"/>
        <v/>
      </c>
      <c r="M72" s="129">
        <f t="shared" ref="M72" si="34">IF(ISERROR(J72/K72),0,J72/K72)</f>
        <v>0</v>
      </c>
      <c r="N72" s="547">
        <f t="shared" si="9"/>
        <v>0</v>
      </c>
      <c r="O72" s="130">
        <f t="shared" ref="O72" si="35">IF(ISERROR(G72/K72*N72),0,G72/K72*N72)</f>
        <v>0</v>
      </c>
      <c r="P72" s="131">
        <f t="shared" si="26"/>
        <v>0</v>
      </c>
      <c r="R72" s="481"/>
      <c r="S72" s="482"/>
      <c r="T72" s="482"/>
      <c r="U72" s="482"/>
      <c r="V72" s="482"/>
      <c r="W72" s="482"/>
      <c r="X72" s="482"/>
      <c r="Y72" s="482"/>
      <c r="Z72" s="482"/>
      <c r="AA72" s="482"/>
      <c r="AB72" s="482"/>
      <c r="AC72" s="482"/>
      <c r="AD72" s="482"/>
      <c r="AE72" s="482"/>
      <c r="AF72" s="482"/>
      <c r="AG72" s="482"/>
      <c r="AH72" s="482"/>
      <c r="AI72" s="482"/>
      <c r="AJ72" s="482"/>
      <c r="AK72" s="482"/>
      <c r="AL72" s="482"/>
      <c r="AM72" s="482"/>
      <c r="AN72" s="482"/>
      <c r="AO72" s="482"/>
      <c r="AP72" s="482"/>
      <c r="AQ72" s="482"/>
      <c r="AR72" s="482"/>
      <c r="AS72" s="482"/>
      <c r="AT72" s="482"/>
      <c r="AU72" s="482"/>
      <c r="AV72" s="482"/>
      <c r="AW72" s="483"/>
      <c r="AX72" s="484">
        <f t="shared" si="10"/>
        <v>0</v>
      </c>
      <c r="AY72" s="501" t="str">
        <f t="shared" ref="AY72:AY76" si="36">IFERROR(L72*AX72,"")</f>
        <v/>
      </c>
      <c r="AZ72" s="488">
        <f t="shared" si="28"/>
        <v>0</v>
      </c>
    </row>
    <row r="73" spans="1:52" s="57" customFormat="1" ht="24.9" customHeight="1" x14ac:dyDescent="0.25">
      <c r="A73" s="588" t="s">
        <v>991</v>
      </c>
      <c r="B73" s="97" t="s">
        <v>364</v>
      </c>
      <c r="C73" s="97"/>
      <c r="D73" s="304" t="s">
        <v>659</v>
      </c>
      <c r="E73" s="305" t="s">
        <v>904</v>
      </c>
      <c r="F73" s="228" t="s">
        <v>669</v>
      </c>
      <c r="G73" s="307">
        <v>18.79</v>
      </c>
      <c r="H73" s="97" t="str">
        <f>VLOOKUP($F73,'Leistungswerte UHR Kigas'!$C$6:$F$27,3,FALSE)</f>
        <v>W5</v>
      </c>
      <c r="I73" s="98">
        <f>VLOOKUP(H73,Turnus!$H$9:$I$26,2,FALSE)</f>
        <v>230</v>
      </c>
      <c r="J73" s="127">
        <f t="shared" si="2"/>
        <v>4321.7</v>
      </c>
      <c r="K73" s="128">
        <f>VLOOKUP($F73,'Leistungswerte UHR Kigas'!$C$6:$F$27,4,FALSE)</f>
        <v>0</v>
      </c>
      <c r="L73" s="496" t="str">
        <f t="shared" si="8"/>
        <v/>
      </c>
      <c r="M73" s="129">
        <f t="shared" si="3"/>
        <v>0</v>
      </c>
      <c r="N73" s="547">
        <f t="shared" si="9"/>
        <v>0</v>
      </c>
      <c r="O73" s="130">
        <f t="shared" si="4"/>
        <v>0</v>
      </c>
      <c r="P73" s="131">
        <f t="shared" si="26"/>
        <v>0</v>
      </c>
      <c r="R73" s="481"/>
      <c r="S73" s="482"/>
      <c r="T73" s="482"/>
      <c r="U73" s="482"/>
      <c r="V73" s="482"/>
      <c r="W73" s="482"/>
      <c r="X73" s="482"/>
      <c r="Y73" s="482"/>
      <c r="Z73" s="482"/>
      <c r="AA73" s="482"/>
      <c r="AB73" s="482"/>
      <c r="AC73" s="482"/>
      <c r="AD73" s="482"/>
      <c r="AE73" s="482"/>
      <c r="AF73" s="482"/>
      <c r="AG73" s="482"/>
      <c r="AH73" s="482"/>
      <c r="AI73" s="482"/>
      <c r="AJ73" s="482"/>
      <c r="AK73" s="482"/>
      <c r="AL73" s="482"/>
      <c r="AM73" s="482"/>
      <c r="AN73" s="482"/>
      <c r="AO73" s="482"/>
      <c r="AP73" s="482"/>
      <c r="AQ73" s="482"/>
      <c r="AR73" s="482"/>
      <c r="AS73" s="482"/>
      <c r="AT73" s="482"/>
      <c r="AU73" s="482"/>
      <c r="AV73" s="482"/>
      <c r="AW73" s="483"/>
      <c r="AX73" s="484">
        <f t="shared" si="10"/>
        <v>0</v>
      </c>
      <c r="AY73" s="501" t="str">
        <f t="shared" si="36"/>
        <v/>
      </c>
      <c r="AZ73" s="488">
        <f t="shared" si="28"/>
        <v>0</v>
      </c>
    </row>
    <row r="74" spans="1:52" s="57" customFormat="1" ht="24.9" customHeight="1" x14ac:dyDescent="0.25">
      <c r="A74" s="588" t="s">
        <v>991</v>
      </c>
      <c r="B74" s="97" t="s">
        <v>364</v>
      </c>
      <c r="C74" s="97"/>
      <c r="D74" s="304" t="s">
        <v>263</v>
      </c>
      <c r="E74" s="305" t="s">
        <v>905</v>
      </c>
      <c r="F74" s="228" t="s">
        <v>669</v>
      </c>
      <c r="G74" s="307">
        <v>44.09</v>
      </c>
      <c r="H74" s="97" t="str">
        <f>VLOOKUP($F74,'Leistungswerte UHR Kigas'!$C$6:$F$27,3,FALSE)</f>
        <v>W5</v>
      </c>
      <c r="I74" s="98">
        <f>VLOOKUP(H74,Turnus!$H$9:$I$26,2,FALSE)</f>
        <v>230</v>
      </c>
      <c r="J74" s="127">
        <f t="shared" si="2"/>
        <v>10140.700000000001</v>
      </c>
      <c r="K74" s="128">
        <f>VLOOKUP($F74,'Leistungswerte UHR Kigas'!$C$6:$F$27,4,FALSE)</f>
        <v>0</v>
      </c>
      <c r="L74" s="496" t="str">
        <f t="shared" ref="L74:L76" si="37">IFERROR(G74/K74,"")</f>
        <v/>
      </c>
      <c r="M74" s="129">
        <f t="shared" si="3"/>
        <v>0</v>
      </c>
      <c r="N74" s="547">
        <f t="shared" si="9"/>
        <v>0</v>
      </c>
      <c r="O74" s="130">
        <f t="shared" si="4"/>
        <v>0</v>
      </c>
      <c r="P74" s="131">
        <f t="shared" si="26"/>
        <v>0</v>
      </c>
      <c r="R74" s="481"/>
      <c r="S74" s="482"/>
      <c r="T74" s="482"/>
      <c r="U74" s="482"/>
      <c r="V74" s="482"/>
      <c r="W74" s="482"/>
      <c r="X74" s="482"/>
      <c r="Y74" s="482"/>
      <c r="Z74" s="482"/>
      <c r="AA74" s="482"/>
      <c r="AB74" s="482"/>
      <c r="AC74" s="482"/>
      <c r="AD74" s="482"/>
      <c r="AE74" s="482"/>
      <c r="AF74" s="482"/>
      <c r="AG74" s="482"/>
      <c r="AH74" s="482"/>
      <c r="AI74" s="482"/>
      <c r="AJ74" s="482"/>
      <c r="AK74" s="482"/>
      <c r="AL74" s="482"/>
      <c r="AM74" s="482"/>
      <c r="AN74" s="482"/>
      <c r="AO74" s="482"/>
      <c r="AP74" s="482"/>
      <c r="AQ74" s="482"/>
      <c r="AR74" s="482"/>
      <c r="AS74" s="482"/>
      <c r="AT74" s="482"/>
      <c r="AU74" s="482"/>
      <c r="AV74" s="482"/>
      <c r="AW74" s="483"/>
      <c r="AX74" s="484">
        <f t="shared" ref="AX74:AX76" si="38">SUM(S74:AW74)</f>
        <v>0</v>
      </c>
      <c r="AY74" s="501" t="str">
        <f t="shared" si="36"/>
        <v/>
      </c>
      <c r="AZ74" s="488">
        <f t="shared" si="28"/>
        <v>0</v>
      </c>
    </row>
    <row r="75" spans="1:52" s="57" customFormat="1" ht="24.9" customHeight="1" x14ac:dyDescent="0.25">
      <c r="A75" s="588" t="s">
        <v>991</v>
      </c>
      <c r="B75" s="97" t="s">
        <v>364</v>
      </c>
      <c r="C75" s="97"/>
      <c r="D75" s="304" t="s">
        <v>660</v>
      </c>
      <c r="E75" s="305" t="s">
        <v>904</v>
      </c>
      <c r="F75" s="228" t="s">
        <v>669</v>
      </c>
      <c r="G75" s="307">
        <v>18.79</v>
      </c>
      <c r="H75" s="97" t="str">
        <f>VLOOKUP($F75,'Leistungswerte UHR Kigas'!$C$6:$F$27,3,FALSE)</f>
        <v>W5</v>
      </c>
      <c r="I75" s="98">
        <f>VLOOKUP(H75,Turnus!$H$9:$I$26,2,FALSE)</f>
        <v>230</v>
      </c>
      <c r="J75" s="127">
        <f t="shared" si="2"/>
        <v>4321.7</v>
      </c>
      <c r="K75" s="128">
        <f>VLOOKUP($F75,'Leistungswerte UHR Kigas'!$C$6:$F$27,4,FALSE)</f>
        <v>0</v>
      </c>
      <c r="L75" s="496" t="str">
        <f t="shared" si="37"/>
        <v/>
      </c>
      <c r="M75" s="129">
        <f t="shared" si="3"/>
        <v>0</v>
      </c>
      <c r="N75" s="547">
        <f t="shared" si="9"/>
        <v>0</v>
      </c>
      <c r="O75" s="130">
        <f t="shared" si="4"/>
        <v>0</v>
      </c>
      <c r="P75" s="131">
        <f t="shared" si="26"/>
        <v>0</v>
      </c>
      <c r="R75" s="481"/>
      <c r="S75" s="482"/>
      <c r="T75" s="482"/>
      <c r="U75" s="482"/>
      <c r="V75" s="482"/>
      <c r="W75" s="482"/>
      <c r="X75" s="482"/>
      <c r="Y75" s="482"/>
      <c r="Z75" s="482"/>
      <c r="AA75" s="482"/>
      <c r="AB75" s="482"/>
      <c r="AC75" s="482"/>
      <c r="AD75" s="482"/>
      <c r="AE75" s="482"/>
      <c r="AF75" s="482"/>
      <c r="AG75" s="482"/>
      <c r="AH75" s="482"/>
      <c r="AI75" s="482"/>
      <c r="AJ75" s="482"/>
      <c r="AK75" s="482"/>
      <c r="AL75" s="482"/>
      <c r="AM75" s="482"/>
      <c r="AN75" s="482"/>
      <c r="AO75" s="482"/>
      <c r="AP75" s="482"/>
      <c r="AQ75" s="482"/>
      <c r="AR75" s="482"/>
      <c r="AS75" s="482"/>
      <c r="AT75" s="482"/>
      <c r="AU75" s="482"/>
      <c r="AV75" s="482"/>
      <c r="AW75" s="483"/>
      <c r="AX75" s="484">
        <f t="shared" si="38"/>
        <v>0</v>
      </c>
      <c r="AY75" s="501" t="str">
        <f t="shared" si="36"/>
        <v/>
      </c>
      <c r="AZ75" s="488">
        <f t="shared" si="28"/>
        <v>0</v>
      </c>
    </row>
    <row r="76" spans="1:52" s="57" customFormat="1" ht="24.9" customHeight="1" x14ac:dyDescent="0.25">
      <c r="A76" s="588" t="s">
        <v>991</v>
      </c>
      <c r="B76" s="97" t="s">
        <v>364</v>
      </c>
      <c r="C76" s="97"/>
      <c r="D76" s="304" t="s">
        <v>661</v>
      </c>
      <c r="E76" s="305" t="s">
        <v>905</v>
      </c>
      <c r="F76" s="228" t="s">
        <v>669</v>
      </c>
      <c r="G76" s="307">
        <v>18.79</v>
      </c>
      <c r="H76" s="97" t="str">
        <f>VLOOKUP($F76,'Leistungswerte UHR Kigas'!$C$6:$F$27,3,FALSE)</f>
        <v>W5</v>
      </c>
      <c r="I76" s="98">
        <f>VLOOKUP(H76,Turnus!$H$9:$I$26,2,FALSE)</f>
        <v>230</v>
      </c>
      <c r="J76" s="127">
        <f t="shared" si="2"/>
        <v>4321.7</v>
      </c>
      <c r="K76" s="128">
        <f>VLOOKUP($F76,'Leistungswerte UHR Kigas'!$C$6:$F$27,4,FALSE)</f>
        <v>0</v>
      </c>
      <c r="L76" s="496" t="str">
        <f t="shared" si="37"/>
        <v/>
      </c>
      <c r="M76" s="129">
        <f t="shared" si="3"/>
        <v>0</v>
      </c>
      <c r="N76" s="547">
        <f t="shared" si="9"/>
        <v>0</v>
      </c>
      <c r="O76" s="130">
        <f t="shared" si="4"/>
        <v>0</v>
      </c>
      <c r="P76" s="131">
        <f t="shared" si="26"/>
        <v>0</v>
      </c>
      <c r="R76" s="481"/>
      <c r="S76" s="482"/>
      <c r="T76" s="482"/>
      <c r="U76" s="482"/>
      <c r="V76" s="482"/>
      <c r="W76" s="482"/>
      <c r="X76" s="482"/>
      <c r="Y76" s="482"/>
      <c r="Z76" s="482"/>
      <c r="AA76" s="482"/>
      <c r="AB76" s="482"/>
      <c r="AC76" s="482"/>
      <c r="AD76" s="482"/>
      <c r="AE76" s="482"/>
      <c r="AF76" s="482"/>
      <c r="AG76" s="482"/>
      <c r="AH76" s="482"/>
      <c r="AI76" s="482"/>
      <c r="AJ76" s="482"/>
      <c r="AK76" s="482"/>
      <c r="AL76" s="482"/>
      <c r="AM76" s="482"/>
      <c r="AN76" s="482"/>
      <c r="AO76" s="482"/>
      <c r="AP76" s="482"/>
      <c r="AQ76" s="482"/>
      <c r="AR76" s="482"/>
      <c r="AS76" s="482"/>
      <c r="AT76" s="482"/>
      <c r="AU76" s="482"/>
      <c r="AV76" s="482"/>
      <c r="AW76" s="483"/>
      <c r="AX76" s="484">
        <f t="shared" si="38"/>
        <v>0</v>
      </c>
      <c r="AY76" s="501" t="str">
        <f t="shared" si="36"/>
        <v/>
      </c>
      <c r="AZ76" s="488">
        <f t="shared" si="28"/>
        <v>0</v>
      </c>
    </row>
    <row r="77" spans="1:52" s="57" customFormat="1" ht="26.25" customHeight="1" x14ac:dyDescent="0.3">
      <c r="A77" s="54"/>
      <c r="B77" s="54"/>
      <c r="C77" s="54"/>
      <c r="D77" s="54"/>
      <c r="E77" s="54"/>
      <c r="F77" s="54"/>
      <c r="G77" s="54"/>
      <c r="H77" s="55"/>
      <c r="I77" s="55"/>
      <c r="J77" s="55"/>
      <c r="K77" s="55"/>
      <c r="L77" s="471"/>
      <c r="M77" s="94"/>
      <c r="N77" s="99"/>
      <c r="O77" s="100"/>
      <c r="P77" s="413"/>
      <c r="R77" s="481"/>
      <c r="S77" s="485"/>
      <c r="T77" s="485"/>
      <c r="U77" s="485"/>
      <c r="V77" s="485"/>
      <c r="W77" s="485"/>
      <c r="X77" s="485"/>
      <c r="Y77" s="485"/>
      <c r="Z77" s="485"/>
      <c r="AA77" s="485"/>
      <c r="AB77" s="485"/>
      <c r="AC77" s="485"/>
      <c r="AD77" s="485"/>
      <c r="AE77" s="485"/>
      <c r="AF77" s="485"/>
      <c r="AG77" s="485"/>
      <c r="AH77" s="485"/>
      <c r="AI77" s="485"/>
      <c r="AJ77" s="485"/>
      <c r="AK77" s="485"/>
      <c r="AL77" s="485"/>
      <c r="AM77" s="485"/>
      <c r="AN77" s="485"/>
      <c r="AO77" s="485"/>
      <c r="AP77" s="485"/>
      <c r="AQ77" s="485"/>
      <c r="AR77" s="485"/>
      <c r="AS77" s="485"/>
      <c r="AT77" s="485"/>
      <c r="AU77" s="485"/>
      <c r="AV77" s="485"/>
      <c r="AW77" s="485"/>
      <c r="AX77" s="485"/>
      <c r="AY77" s="497">
        <f>SUM(AY8:AY76)</f>
        <v>0</v>
      </c>
      <c r="AZ77" s="489">
        <f>SUM(AZ8:AZ76)</f>
        <v>0</v>
      </c>
    </row>
    <row r="78" spans="1:52" ht="20.25" customHeight="1" x14ac:dyDescent="0.2">
      <c r="M78" s="102"/>
      <c r="N78" s="103"/>
      <c r="O78" s="466"/>
      <c r="P78" s="104"/>
      <c r="R78" s="481"/>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05"/>
      <c r="AR78" s="105"/>
      <c r="AS78" s="105"/>
      <c r="AT78" s="105"/>
      <c r="AU78" s="105"/>
      <c r="AV78" s="105"/>
      <c r="AW78" s="105"/>
      <c r="AX78" s="105"/>
      <c r="AY78" s="105"/>
      <c r="AZ78" s="105"/>
    </row>
    <row r="79" spans="1:52" ht="13.2" x14ac:dyDescent="0.2">
      <c r="B79" s="52"/>
      <c r="C79" s="52"/>
      <c r="D79" s="52"/>
      <c r="E79" s="59"/>
      <c r="F79" s="59"/>
      <c r="I79" s="52"/>
      <c r="J79" s="52"/>
      <c r="K79" s="52"/>
      <c r="R79" s="481"/>
      <c r="S79" s="105"/>
      <c r="T79" s="105"/>
      <c r="U79" s="105"/>
      <c r="V79" s="105"/>
      <c r="W79" s="105"/>
      <c r="X79" s="105"/>
      <c r="Y79" s="105"/>
      <c r="Z79" s="105"/>
      <c r="AA79" s="105"/>
      <c r="AB79" s="105"/>
      <c r="AC79" s="105"/>
      <c r="AD79" s="105"/>
      <c r="AE79" s="105"/>
      <c r="AF79" s="105"/>
      <c r="AG79" s="105"/>
      <c r="AH79" s="105"/>
      <c r="AI79" s="105"/>
      <c r="AJ79" s="105"/>
      <c r="AK79" s="105"/>
      <c r="AL79" s="105"/>
      <c r="AM79" s="105"/>
      <c r="AN79" s="105"/>
      <c r="AO79" s="105"/>
      <c r="AP79" s="105"/>
      <c r="AQ79" s="105"/>
      <c r="AR79" s="105"/>
      <c r="AS79" s="105"/>
      <c r="AT79" s="105"/>
      <c r="AU79" s="105"/>
      <c r="AV79" s="105"/>
      <c r="AW79" s="105"/>
      <c r="AX79" s="105"/>
      <c r="AY79" s="105"/>
      <c r="AZ79" s="105"/>
    </row>
    <row r="80" spans="1:52" ht="12.75" customHeight="1" x14ac:dyDescent="0.2">
      <c r="B80" s="52"/>
      <c r="C80" s="52"/>
      <c r="D80" s="52"/>
      <c r="E80" s="59"/>
      <c r="F80" s="59"/>
      <c r="I80" s="52"/>
      <c r="J80" s="52"/>
      <c r="K80" s="52"/>
      <c r="R80" s="481"/>
      <c r="S80" s="105"/>
      <c r="T80" s="105"/>
      <c r="U80" s="105"/>
      <c r="V80" s="105"/>
      <c r="W80" s="105"/>
      <c r="X80" s="105"/>
      <c r="Y80" s="105"/>
      <c r="Z80" s="105"/>
      <c r="AA80" s="105"/>
      <c r="AB80" s="105"/>
      <c r="AC80" s="105"/>
      <c r="AD80" s="105"/>
      <c r="AE80" s="105"/>
      <c r="AF80" s="105"/>
      <c r="AG80" s="105"/>
      <c r="AH80" s="105"/>
      <c r="AI80" s="105"/>
      <c r="AJ80" s="105"/>
      <c r="AK80" s="105"/>
      <c r="AL80" s="105"/>
      <c r="AM80" s="105"/>
      <c r="AN80" s="105"/>
      <c r="AO80" s="105"/>
      <c r="AP80" s="105"/>
      <c r="AQ80" s="105"/>
      <c r="AR80" s="105"/>
      <c r="AS80" s="105"/>
      <c r="AT80" s="105"/>
      <c r="AU80" s="105"/>
      <c r="AV80" s="105"/>
      <c r="AW80" s="105"/>
      <c r="AX80" s="105"/>
      <c r="AY80" s="105"/>
      <c r="AZ80" s="105"/>
    </row>
    <row r="81" spans="2:52" s="105" customFormat="1" ht="12.75" customHeight="1" x14ac:dyDescent="0.2">
      <c r="B81" s="52"/>
      <c r="C81" s="52"/>
      <c r="D81" s="52"/>
      <c r="E81" s="59"/>
      <c r="F81" s="59"/>
      <c r="G81" s="59"/>
      <c r="H81" s="58"/>
      <c r="I81" s="52"/>
      <c r="J81" s="52"/>
      <c r="K81" s="52"/>
      <c r="L81" s="58"/>
      <c r="N81" s="106"/>
      <c r="O81" s="107"/>
      <c r="P81" s="107"/>
      <c r="Q81" s="52"/>
      <c r="R81" s="481"/>
    </row>
    <row r="82" spans="2:52" s="105" customFormat="1" ht="12.75" customHeight="1" x14ac:dyDescent="0.2">
      <c r="B82" s="52"/>
      <c r="C82" s="52"/>
      <c r="D82" s="52"/>
      <c r="E82" s="59"/>
      <c r="F82" s="59"/>
      <c r="G82" s="59"/>
      <c r="H82" s="58"/>
      <c r="I82" s="101"/>
      <c r="J82" s="101"/>
      <c r="K82" s="58"/>
      <c r="L82" s="58"/>
      <c r="N82" s="106"/>
      <c r="O82" s="107"/>
      <c r="P82" s="107"/>
      <c r="Q82" s="52"/>
      <c r="R82" s="481"/>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c r="AZ82" s="59"/>
    </row>
    <row r="83" spans="2:52" s="105" customFormat="1" ht="12.75" customHeight="1" x14ac:dyDescent="0.2">
      <c r="B83" s="52"/>
      <c r="C83" s="52"/>
      <c r="D83" s="52"/>
      <c r="E83" s="59"/>
      <c r="F83" s="59"/>
      <c r="G83" s="59"/>
      <c r="H83" s="58"/>
      <c r="I83" s="101"/>
      <c r="J83" s="101"/>
      <c r="K83" s="58"/>
      <c r="L83" s="58"/>
      <c r="N83" s="106"/>
      <c r="O83" s="107"/>
      <c r="P83" s="107"/>
      <c r="Q83" s="52"/>
      <c r="R83" s="481"/>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row>
    <row r="84" spans="2:52" s="105" customFormat="1" ht="12.75" customHeight="1" x14ac:dyDescent="0.2">
      <c r="B84" s="52"/>
      <c r="C84" s="52"/>
      <c r="D84" s="52"/>
      <c r="E84" s="59"/>
      <c r="F84" s="59"/>
      <c r="G84" s="59"/>
      <c r="H84" s="58"/>
      <c r="I84" s="101"/>
      <c r="J84" s="101"/>
      <c r="K84" s="58"/>
      <c r="L84" s="58"/>
      <c r="N84" s="106"/>
      <c r="O84" s="107"/>
      <c r="P84" s="107"/>
      <c r="Q84" s="52"/>
      <c r="R84" s="481"/>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row>
    <row r="85" spans="2:52" s="105" customFormat="1" ht="13.2" x14ac:dyDescent="0.2">
      <c r="B85" s="52"/>
      <c r="C85" s="52"/>
      <c r="D85" s="52"/>
      <c r="E85" s="59"/>
      <c r="F85" s="59"/>
      <c r="G85" s="59"/>
      <c r="H85" s="58"/>
      <c r="I85" s="101"/>
      <c r="J85" s="101"/>
      <c r="K85" s="58"/>
      <c r="L85" s="58"/>
      <c r="N85" s="106"/>
      <c r="O85" s="107"/>
      <c r="P85" s="107"/>
      <c r="Q85" s="52"/>
      <c r="R85" s="481"/>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row>
    <row r="86" spans="2:52" s="105" customFormat="1" ht="13.2" x14ac:dyDescent="0.2">
      <c r="B86" s="52"/>
      <c r="C86" s="52"/>
      <c r="D86" s="52"/>
      <c r="E86" s="59"/>
      <c r="F86" s="59"/>
      <c r="G86" s="59"/>
      <c r="H86" s="58"/>
      <c r="I86" s="101"/>
      <c r="J86" s="101"/>
      <c r="K86" s="58"/>
      <c r="L86" s="58"/>
      <c r="N86" s="106"/>
      <c r="O86" s="107"/>
      <c r="P86" s="107"/>
      <c r="Q86" s="52"/>
      <c r="R86" s="481"/>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row>
    <row r="87" spans="2:52" s="105" customFormat="1" ht="13.2" x14ac:dyDescent="0.2">
      <c r="B87" s="59"/>
      <c r="C87" s="59"/>
      <c r="D87" s="59"/>
      <c r="E87" s="59"/>
      <c r="F87" s="59"/>
      <c r="G87" s="59"/>
      <c r="H87" s="58"/>
      <c r="I87" s="101"/>
      <c r="J87" s="101"/>
      <c r="K87" s="58"/>
      <c r="L87" s="58"/>
      <c r="N87" s="106"/>
      <c r="O87" s="107"/>
      <c r="P87" s="107"/>
      <c r="Q87" s="52"/>
      <c r="R87" s="481"/>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row>
    <row r="88" spans="2:52" s="105" customFormat="1" ht="13.2" x14ac:dyDescent="0.2">
      <c r="B88" s="59"/>
      <c r="C88" s="59"/>
      <c r="D88" s="59"/>
      <c r="E88" s="59"/>
      <c r="F88" s="59"/>
      <c r="G88" s="59"/>
      <c r="H88" s="58"/>
      <c r="I88" s="101"/>
      <c r="J88" s="101"/>
      <c r="K88" s="58"/>
      <c r="L88" s="58"/>
      <c r="N88" s="106"/>
      <c r="O88" s="107"/>
      <c r="P88" s="107"/>
      <c r="Q88" s="52"/>
      <c r="R88" s="481"/>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c r="AZ88" s="59"/>
    </row>
    <row r="89" spans="2:52" s="105" customFormat="1" ht="13.2" x14ac:dyDescent="0.2">
      <c r="B89" s="59"/>
      <c r="C89" s="59"/>
      <c r="D89" s="59"/>
      <c r="E89" s="59"/>
      <c r="F89" s="59"/>
      <c r="G89" s="59"/>
      <c r="H89" s="58"/>
      <c r="I89" s="101"/>
      <c r="J89" s="101"/>
      <c r="K89" s="58"/>
      <c r="L89" s="58"/>
      <c r="N89" s="106"/>
      <c r="O89" s="107"/>
      <c r="P89" s="107"/>
      <c r="Q89" s="52"/>
      <c r="R89" s="481"/>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c r="AZ89" s="59"/>
    </row>
    <row r="90" spans="2:52" s="105" customFormat="1" ht="13.2" x14ac:dyDescent="0.2">
      <c r="B90" s="59"/>
      <c r="C90" s="59"/>
      <c r="D90" s="59"/>
      <c r="E90" s="59"/>
      <c r="F90" s="59"/>
      <c r="G90" s="59"/>
      <c r="H90" s="58"/>
      <c r="I90" s="101"/>
      <c r="J90" s="101"/>
      <c r="K90" s="58"/>
      <c r="L90" s="58"/>
      <c r="N90" s="106"/>
      <c r="O90" s="107"/>
      <c r="P90" s="107"/>
      <c r="Q90" s="52"/>
      <c r="R90" s="481"/>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row>
    <row r="91" spans="2:52" s="105" customFormat="1" ht="13.2" x14ac:dyDescent="0.2">
      <c r="B91" s="59"/>
      <c r="C91" s="59"/>
      <c r="D91" s="59"/>
      <c r="E91" s="59"/>
      <c r="F91" s="59"/>
      <c r="G91" s="59"/>
      <c r="H91" s="58"/>
      <c r="I91" s="101"/>
      <c r="J91" s="101"/>
      <c r="K91" s="58"/>
      <c r="L91" s="58"/>
      <c r="N91" s="106"/>
      <c r="O91" s="107"/>
      <c r="P91" s="107"/>
      <c r="Q91" s="52"/>
      <c r="R91" s="481"/>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c r="AZ91" s="59"/>
    </row>
    <row r="92" spans="2:52" s="105" customFormat="1" ht="13.2" x14ac:dyDescent="0.2">
      <c r="B92" s="59"/>
      <c r="C92" s="59"/>
      <c r="D92" s="59"/>
      <c r="E92" s="59"/>
      <c r="F92" s="59"/>
      <c r="G92" s="59"/>
      <c r="H92" s="58"/>
      <c r="I92" s="101"/>
      <c r="J92" s="101"/>
      <c r="K92" s="58"/>
      <c r="L92" s="58"/>
      <c r="N92" s="106"/>
      <c r="O92" s="107"/>
      <c r="P92" s="107"/>
      <c r="Q92" s="52"/>
      <c r="R92" s="481"/>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c r="AV92" s="59"/>
      <c r="AW92" s="59"/>
      <c r="AX92" s="59"/>
      <c r="AY92" s="59"/>
      <c r="AZ92" s="59"/>
    </row>
    <row r="93" spans="2:52" s="105" customFormat="1" x14ac:dyDescent="0.2">
      <c r="B93" s="59"/>
      <c r="C93" s="59"/>
      <c r="D93" s="59"/>
      <c r="E93" s="59"/>
      <c r="F93" s="59"/>
      <c r="G93" s="59"/>
      <c r="H93" s="58"/>
      <c r="I93" s="101"/>
      <c r="J93" s="101"/>
      <c r="K93" s="58"/>
      <c r="L93" s="58"/>
      <c r="N93" s="106"/>
      <c r="O93" s="107"/>
      <c r="P93" s="107"/>
      <c r="Q93" s="52"/>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row>
    <row r="94" spans="2:52" s="105" customFormat="1" x14ac:dyDescent="0.2">
      <c r="B94" s="59"/>
      <c r="C94" s="59"/>
      <c r="D94" s="59"/>
      <c r="E94" s="59"/>
      <c r="F94" s="59"/>
      <c r="G94" s="59"/>
      <c r="H94" s="58"/>
      <c r="I94" s="101"/>
      <c r="J94" s="101"/>
      <c r="K94" s="58"/>
      <c r="L94" s="58"/>
      <c r="N94" s="106"/>
      <c r="O94" s="107"/>
      <c r="P94" s="107"/>
      <c r="Q94" s="52"/>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row>
    <row r="95" spans="2:52" s="105" customFormat="1" x14ac:dyDescent="0.2">
      <c r="B95" s="59"/>
      <c r="C95" s="59"/>
      <c r="D95" s="59"/>
      <c r="E95" s="59"/>
      <c r="F95" s="59"/>
      <c r="G95" s="59"/>
      <c r="H95" s="58"/>
      <c r="I95" s="101"/>
      <c r="J95" s="101"/>
      <c r="K95" s="58"/>
      <c r="L95" s="58"/>
      <c r="N95" s="106"/>
      <c r="O95" s="107"/>
      <c r="P95" s="107"/>
      <c r="Q95" s="52"/>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row>
    <row r="96" spans="2:52" s="105" customFormat="1" x14ac:dyDescent="0.2">
      <c r="B96" s="59"/>
      <c r="C96" s="59"/>
      <c r="D96" s="59"/>
      <c r="E96" s="59"/>
      <c r="F96" s="59"/>
      <c r="G96" s="59"/>
      <c r="H96" s="58"/>
      <c r="I96" s="101"/>
      <c r="J96" s="101"/>
      <c r="K96" s="58"/>
      <c r="L96" s="58"/>
      <c r="N96" s="106"/>
      <c r="O96" s="107"/>
      <c r="P96" s="107"/>
      <c r="Q96" s="52"/>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row>
    <row r="97" spans="8:17" s="59" customFormat="1" x14ac:dyDescent="0.2">
      <c r="H97" s="58"/>
      <c r="I97" s="101"/>
      <c r="J97" s="101"/>
      <c r="K97" s="58"/>
      <c r="M97" s="105"/>
      <c r="N97" s="106"/>
      <c r="O97" s="107"/>
      <c r="P97" s="107"/>
      <c r="Q97" s="52"/>
    </row>
    <row r="98" spans="8:17" s="59" customFormat="1" x14ac:dyDescent="0.2">
      <c r="H98" s="58"/>
      <c r="I98" s="101"/>
      <c r="J98" s="101"/>
      <c r="K98" s="58"/>
      <c r="M98" s="105"/>
      <c r="N98" s="106"/>
      <c r="O98" s="107"/>
      <c r="P98" s="107"/>
      <c r="Q98" s="52"/>
    </row>
    <row r="99" spans="8:17" s="59" customFormat="1" x14ac:dyDescent="0.2">
      <c r="H99" s="58"/>
      <c r="I99" s="101"/>
      <c r="J99" s="101"/>
      <c r="K99" s="58"/>
      <c r="L99" s="58"/>
      <c r="M99" s="105"/>
      <c r="N99" s="106"/>
      <c r="O99" s="107"/>
      <c r="P99" s="107"/>
      <c r="Q99" s="52"/>
    </row>
    <row r="100" spans="8:17" s="59" customFormat="1" x14ac:dyDescent="0.2">
      <c r="H100" s="58"/>
      <c r="I100" s="101"/>
      <c r="J100" s="101"/>
      <c r="K100" s="58"/>
      <c r="L100" s="58"/>
      <c r="M100" s="105"/>
      <c r="N100" s="106"/>
      <c r="O100" s="107"/>
      <c r="P100" s="107"/>
      <c r="Q100" s="52"/>
    </row>
    <row r="101" spans="8:17" s="59" customFormat="1" x14ac:dyDescent="0.2">
      <c r="H101" s="58"/>
      <c r="I101" s="101"/>
      <c r="J101" s="101"/>
      <c r="K101" s="58"/>
      <c r="L101" s="58"/>
      <c r="M101" s="105"/>
      <c r="N101" s="106"/>
      <c r="O101" s="107"/>
      <c r="P101" s="107"/>
      <c r="Q101" s="52"/>
    </row>
    <row r="102" spans="8:17" s="59" customFormat="1" x14ac:dyDescent="0.2">
      <c r="H102" s="58"/>
      <c r="I102" s="101"/>
      <c r="J102" s="101"/>
      <c r="K102" s="58"/>
      <c r="L102" s="58"/>
      <c r="M102" s="105"/>
      <c r="N102" s="106"/>
      <c r="O102" s="107"/>
      <c r="P102" s="107"/>
      <c r="Q102" s="52"/>
    </row>
    <row r="103" spans="8:17" s="59" customFormat="1" x14ac:dyDescent="0.2">
      <c r="H103" s="58"/>
      <c r="I103" s="101"/>
      <c r="J103" s="101"/>
      <c r="K103" s="58"/>
      <c r="L103" s="58"/>
      <c r="M103" s="105"/>
      <c r="N103" s="106"/>
      <c r="O103" s="107"/>
      <c r="P103" s="107"/>
      <c r="Q103" s="52"/>
    </row>
    <row r="104" spans="8:17" s="59" customFormat="1" x14ac:dyDescent="0.2">
      <c r="H104" s="58"/>
      <c r="I104" s="101"/>
      <c r="J104" s="101"/>
      <c r="K104" s="58"/>
      <c r="L104" s="58"/>
      <c r="M104" s="105"/>
      <c r="N104" s="106"/>
      <c r="O104" s="107"/>
      <c r="P104" s="107"/>
      <c r="Q104" s="52"/>
    </row>
    <row r="105" spans="8:17" s="59" customFormat="1" x14ac:dyDescent="0.2">
      <c r="H105" s="58"/>
      <c r="I105" s="101"/>
      <c r="J105" s="101"/>
      <c r="K105" s="58"/>
      <c r="L105" s="58"/>
      <c r="M105" s="105"/>
      <c r="N105" s="106"/>
      <c r="O105" s="107"/>
      <c r="P105" s="107"/>
      <c r="Q105" s="52"/>
    </row>
    <row r="106" spans="8:17" s="59" customFormat="1" x14ac:dyDescent="0.2">
      <c r="H106" s="58"/>
      <c r="I106" s="101"/>
      <c r="J106" s="101"/>
      <c r="K106" s="58"/>
      <c r="L106" s="58"/>
      <c r="M106" s="105"/>
      <c r="N106" s="106"/>
      <c r="O106" s="107"/>
      <c r="P106" s="107"/>
      <c r="Q106" s="52"/>
    </row>
    <row r="107" spans="8:17" s="59" customFormat="1" x14ac:dyDescent="0.2">
      <c r="H107" s="58"/>
      <c r="I107" s="101"/>
      <c r="J107" s="101"/>
      <c r="K107" s="58"/>
      <c r="L107" s="58"/>
      <c r="M107" s="105"/>
      <c r="N107" s="106"/>
      <c r="O107" s="107"/>
      <c r="P107" s="107"/>
      <c r="Q107" s="52"/>
    </row>
    <row r="108" spans="8:17" s="59" customFormat="1" x14ac:dyDescent="0.2">
      <c r="H108" s="58"/>
      <c r="I108" s="101"/>
      <c r="J108" s="101"/>
      <c r="K108" s="58"/>
      <c r="L108" s="58"/>
      <c r="M108" s="105"/>
      <c r="N108" s="106"/>
      <c r="O108" s="107"/>
      <c r="P108" s="107"/>
      <c r="Q108" s="52"/>
    </row>
    <row r="109" spans="8:17" s="59" customFormat="1" x14ac:dyDescent="0.2">
      <c r="H109" s="58"/>
      <c r="I109" s="101"/>
      <c r="J109" s="101"/>
      <c r="K109" s="58"/>
      <c r="L109" s="58"/>
      <c r="M109" s="105"/>
      <c r="N109" s="106"/>
      <c r="O109" s="107"/>
      <c r="P109" s="107"/>
      <c r="Q109" s="52"/>
    </row>
    <row r="110" spans="8:17" s="59" customFormat="1" x14ac:dyDescent="0.2">
      <c r="H110" s="58"/>
      <c r="I110" s="101"/>
      <c r="J110" s="101"/>
      <c r="K110" s="58"/>
      <c r="L110" s="58"/>
      <c r="M110" s="105"/>
      <c r="N110" s="106"/>
      <c r="O110" s="107"/>
      <c r="P110" s="107"/>
      <c r="Q110" s="52"/>
    </row>
    <row r="111" spans="8:17" s="59" customFormat="1" x14ac:dyDescent="0.2">
      <c r="H111" s="58"/>
      <c r="I111" s="101"/>
      <c r="J111" s="101"/>
      <c r="K111" s="58"/>
      <c r="L111" s="58"/>
      <c r="M111" s="105"/>
      <c r="N111" s="106"/>
      <c r="O111" s="107"/>
      <c r="P111" s="107"/>
      <c r="Q111" s="52"/>
    </row>
    <row r="112" spans="8:17" s="59" customFormat="1" x14ac:dyDescent="0.2">
      <c r="H112" s="58"/>
      <c r="I112" s="101"/>
      <c r="J112" s="101"/>
      <c r="K112" s="58"/>
      <c r="L112" s="58"/>
      <c r="M112" s="105"/>
      <c r="N112" s="106"/>
      <c r="O112" s="107"/>
      <c r="P112" s="107"/>
      <c r="Q112" s="52"/>
    </row>
    <row r="113" spans="8:17" s="59" customFormat="1" x14ac:dyDescent="0.2">
      <c r="H113" s="58"/>
      <c r="I113" s="101"/>
      <c r="J113" s="101"/>
      <c r="K113" s="58"/>
      <c r="L113" s="58"/>
      <c r="M113" s="105"/>
      <c r="N113" s="106"/>
      <c r="O113" s="107"/>
      <c r="P113" s="107"/>
      <c r="Q113" s="52"/>
    </row>
    <row r="114" spans="8:17" s="59" customFormat="1" x14ac:dyDescent="0.2">
      <c r="H114" s="58"/>
      <c r="I114" s="101"/>
      <c r="J114" s="101"/>
      <c r="K114" s="58"/>
      <c r="L114" s="58"/>
      <c r="M114" s="105"/>
      <c r="N114" s="106"/>
      <c r="O114" s="107"/>
      <c r="P114" s="107"/>
      <c r="Q114" s="52"/>
    </row>
    <row r="115" spans="8:17" s="59" customFormat="1" x14ac:dyDescent="0.2">
      <c r="H115" s="58"/>
      <c r="I115" s="101"/>
      <c r="J115" s="101"/>
      <c r="K115" s="58"/>
      <c r="L115" s="58"/>
      <c r="M115" s="105"/>
      <c r="N115" s="106"/>
      <c r="O115" s="107"/>
      <c r="P115" s="107"/>
      <c r="Q115" s="52"/>
    </row>
    <row r="116" spans="8:17" s="59" customFormat="1" x14ac:dyDescent="0.2">
      <c r="H116" s="58"/>
      <c r="I116" s="101"/>
      <c r="J116" s="101"/>
      <c r="K116" s="58"/>
      <c r="L116" s="58"/>
      <c r="M116" s="105"/>
      <c r="N116" s="106"/>
      <c r="O116" s="107"/>
      <c r="P116" s="107"/>
      <c r="Q116" s="52"/>
    </row>
    <row r="117" spans="8:17" s="59" customFormat="1" x14ac:dyDescent="0.2">
      <c r="H117" s="58"/>
      <c r="I117" s="101"/>
      <c r="J117" s="101"/>
      <c r="K117" s="58"/>
      <c r="L117" s="58"/>
      <c r="M117" s="105"/>
      <c r="N117" s="106"/>
      <c r="O117" s="107"/>
      <c r="P117" s="107"/>
      <c r="Q117" s="52"/>
    </row>
    <row r="118" spans="8:17" s="59" customFormat="1" x14ac:dyDescent="0.2">
      <c r="H118" s="58"/>
      <c r="I118" s="101"/>
      <c r="J118" s="101"/>
      <c r="K118" s="58"/>
      <c r="L118" s="58"/>
      <c r="M118" s="105"/>
      <c r="N118" s="106"/>
      <c r="O118" s="107"/>
      <c r="P118" s="107"/>
      <c r="Q118" s="52"/>
    </row>
    <row r="119" spans="8:17" s="59" customFormat="1" x14ac:dyDescent="0.2">
      <c r="H119" s="58"/>
      <c r="I119" s="101"/>
      <c r="J119" s="101"/>
      <c r="K119" s="58"/>
      <c r="L119" s="58"/>
      <c r="M119" s="105"/>
      <c r="N119" s="106"/>
      <c r="O119" s="107"/>
      <c r="P119" s="107"/>
      <c r="Q119" s="52"/>
    </row>
    <row r="120" spans="8:17" s="59" customFormat="1" x14ac:dyDescent="0.2">
      <c r="H120" s="58"/>
      <c r="I120" s="101"/>
      <c r="J120" s="101"/>
      <c r="K120" s="58"/>
      <c r="L120" s="58"/>
      <c r="M120" s="105"/>
      <c r="N120" s="106"/>
      <c r="O120" s="107"/>
      <c r="P120" s="107"/>
      <c r="Q120" s="52"/>
    </row>
    <row r="121" spans="8:17" s="59" customFormat="1" x14ac:dyDescent="0.2">
      <c r="H121" s="58"/>
      <c r="I121" s="101"/>
      <c r="J121" s="101"/>
      <c r="K121" s="58"/>
      <c r="L121" s="58"/>
      <c r="M121" s="105"/>
      <c r="N121" s="106"/>
      <c r="O121" s="107"/>
      <c r="P121" s="107"/>
      <c r="Q121" s="52"/>
    </row>
    <row r="122" spans="8:17" s="59" customFormat="1" x14ac:dyDescent="0.2">
      <c r="H122" s="58"/>
      <c r="I122" s="101"/>
      <c r="J122" s="101"/>
      <c r="K122" s="58"/>
      <c r="L122" s="58"/>
      <c r="M122" s="105"/>
      <c r="N122" s="106"/>
      <c r="O122" s="107"/>
      <c r="P122" s="107"/>
      <c r="Q122" s="52"/>
    </row>
    <row r="123" spans="8:17" s="59" customFormat="1" x14ac:dyDescent="0.2">
      <c r="H123" s="58"/>
      <c r="I123" s="101"/>
      <c r="J123" s="101"/>
      <c r="K123" s="58"/>
      <c r="L123" s="58"/>
      <c r="M123" s="105"/>
      <c r="N123" s="106"/>
      <c r="O123" s="107"/>
      <c r="P123" s="107"/>
      <c r="Q123" s="52"/>
    </row>
    <row r="124" spans="8:17" s="59" customFormat="1" x14ac:dyDescent="0.2">
      <c r="H124" s="58"/>
      <c r="I124" s="101"/>
      <c r="J124" s="101"/>
      <c r="K124" s="58"/>
      <c r="L124" s="58"/>
      <c r="M124" s="105"/>
      <c r="N124" s="106"/>
      <c r="O124" s="107"/>
      <c r="P124" s="107"/>
      <c r="Q124" s="52"/>
    </row>
    <row r="125" spans="8:17" s="59" customFormat="1" x14ac:dyDescent="0.2">
      <c r="H125" s="58"/>
      <c r="I125" s="101"/>
      <c r="J125" s="101"/>
      <c r="K125" s="58"/>
      <c r="L125" s="58"/>
      <c r="M125" s="105"/>
      <c r="N125" s="106"/>
      <c r="O125" s="107"/>
      <c r="P125" s="107"/>
      <c r="Q125" s="52"/>
    </row>
    <row r="126" spans="8:17" s="59" customFormat="1" x14ac:dyDescent="0.2">
      <c r="H126" s="58"/>
      <c r="I126" s="101"/>
      <c r="J126" s="101"/>
      <c r="K126" s="58"/>
      <c r="L126" s="58"/>
      <c r="M126" s="105"/>
      <c r="N126" s="106"/>
      <c r="O126" s="107"/>
      <c r="P126" s="107"/>
      <c r="Q126" s="52"/>
    </row>
    <row r="127" spans="8:17" s="59" customFormat="1" x14ac:dyDescent="0.2">
      <c r="H127" s="58"/>
      <c r="I127" s="101"/>
      <c r="J127" s="101"/>
      <c r="K127" s="58"/>
      <c r="L127" s="58"/>
      <c r="M127" s="105"/>
      <c r="N127" s="106"/>
      <c r="O127" s="107"/>
      <c r="P127" s="107"/>
      <c r="Q127" s="52"/>
    </row>
    <row r="128" spans="8:17" s="59" customFormat="1" x14ac:dyDescent="0.2">
      <c r="H128" s="58"/>
      <c r="I128" s="101"/>
      <c r="J128" s="101"/>
      <c r="K128" s="58"/>
      <c r="L128" s="58"/>
      <c r="M128" s="105"/>
      <c r="N128" s="106"/>
      <c r="O128" s="107"/>
      <c r="P128" s="107"/>
      <c r="Q128" s="52"/>
    </row>
    <row r="129" spans="8:17" s="59" customFormat="1" x14ac:dyDescent="0.2">
      <c r="H129" s="58"/>
      <c r="I129" s="101"/>
      <c r="J129" s="101"/>
      <c r="K129" s="58"/>
      <c r="L129" s="58"/>
      <c r="M129" s="105"/>
      <c r="N129" s="106"/>
      <c r="O129" s="107"/>
      <c r="P129" s="107"/>
      <c r="Q129" s="52"/>
    </row>
    <row r="130" spans="8:17" s="59" customFormat="1" x14ac:dyDescent="0.2">
      <c r="H130" s="58"/>
      <c r="I130" s="101"/>
      <c r="J130" s="101"/>
      <c r="K130" s="58"/>
      <c r="L130" s="58"/>
      <c r="M130" s="105"/>
      <c r="N130" s="106"/>
      <c r="O130" s="107"/>
      <c r="P130" s="107"/>
      <c r="Q130" s="52"/>
    </row>
    <row r="131" spans="8:17" s="59" customFormat="1" x14ac:dyDescent="0.2">
      <c r="H131" s="58"/>
      <c r="I131" s="101"/>
      <c r="J131" s="101"/>
      <c r="K131" s="58"/>
      <c r="L131" s="58"/>
      <c r="M131" s="105"/>
      <c r="N131" s="106"/>
      <c r="O131" s="107"/>
      <c r="P131" s="107"/>
      <c r="Q131" s="52"/>
    </row>
    <row r="132" spans="8:17" s="59" customFormat="1" x14ac:dyDescent="0.2">
      <c r="H132" s="58"/>
      <c r="I132" s="101"/>
      <c r="J132" s="101"/>
      <c r="K132" s="58"/>
      <c r="L132" s="58"/>
      <c r="M132" s="105"/>
      <c r="N132" s="106"/>
      <c r="O132" s="107"/>
      <c r="P132" s="107"/>
      <c r="Q132" s="52"/>
    </row>
    <row r="133" spans="8:17" s="59" customFormat="1" x14ac:dyDescent="0.2">
      <c r="H133" s="58"/>
      <c r="I133" s="101"/>
      <c r="J133" s="101"/>
      <c r="K133" s="58"/>
      <c r="L133" s="58"/>
      <c r="M133" s="105"/>
      <c r="N133" s="106"/>
      <c r="O133" s="107"/>
      <c r="P133" s="107"/>
      <c r="Q133" s="52"/>
    </row>
    <row r="134" spans="8:17" s="59" customFormat="1" x14ac:dyDescent="0.2">
      <c r="H134" s="58"/>
      <c r="I134" s="101"/>
      <c r="J134" s="101"/>
      <c r="K134" s="58"/>
      <c r="L134" s="58"/>
      <c r="M134" s="105"/>
      <c r="N134" s="106"/>
      <c r="O134" s="107"/>
      <c r="P134" s="107"/>
      <c r="Q134" s="52"/>
    </row>
    <row r="135" spans="8:17" s="59" customFormat="1" x14ac:dyDescent="0.2">
      <c r="H135" s="58"/>
      <c r="I135" s="101"/>
      <c r="J135" s="101"/>
      <c r="K135" s="58"/>
      <c r="L135" s="58"/>
      <c r="M135" s="105"/>
      <c r="N135" s="106"/>
      <c r="O135" s="107"/>
      <c r="P135" s="107"/>
      <c r="Q135" s="52"/>
    </row>
    <row r="136" spans="8:17" s="59" customFormat="1" x14ac:dyDescent="0.2">
      <c r="H136" s="58"/>
      <c r="I136" s="101"/>
      <c r="J136" s="101"/>
      <c r="K136" s="58"/>
      <c r="L136" s="58"/>
      <c r="M136" s="105"/>
      <c r="N136" s="106"/>
      <c r="O136" s="107"/>
      <c r="P136" s="107"/>
      <c r="Q136" s="52"/>
    </row>
    <row r="137" spans="8:17" s="59" customFormat="1" x14ac:dyDescent="0.2">
      <c r="H137" s="58"/>
      <c r="I137" s="101"/>
      <c r="J137" s="101"/>
      <c r="K137" s="58"/>
      <c r="L137" s="58"/>
      <c r="M137" s="105"/>
      <c r="N137" s="106"/>
      <c r="O137" s="107"/>
      <c r="P137" s="107"/>
      <c r="Q137" s="52"/>
    </row>
    <row r="138" spans="8:17" s="59" customFormat="1" x14ac:dyDescent="0.2">
      <c r="H138" s="58"/>
      <c r="I138" s="101"/>
      <c r="J138" s="101"/>
      <c r="K138" s="58"/>
      <c r="L138" s="58"/>
      <c r="M138" s="105"/>
      <c r="N138" s="106"/>
      <c r="O138" s="107"/>
      <c r="P138" s="107"/>
      <c r="Q138" s="52"/>
    </row>
    <row r="139" spans="8:17" s="59" customFormat="1" x14ac:dyDescent="0.2">
      <c r="H139" s="58"/>
      <c r="I139" s="101"/>
      <c r="J139" s="101"/>
      <c r="K139" s="58"/>
      <c r="L139" s="58"/>
      <c r="M139" s="105"/>
      <c r="N139" s="106"/>
      <c r="O139" s="107"/>
      <c r="P139" s="107"/>
      <c r="Q139" s="52"/>
    </row>
    <row r="140" spans="8:17" s="59" customFormat="1" x14ac:dyDescent="0.2">
      <c r="H140" s="58"/>
      <c r="I140" s="101"/>
      <c r="J140" s="101"/>
      <c r="K140" s="58"/>
      <c r="L140" s="58"/>
      <c r="M140" s="105"/>
      <c r="N140" s="106"/>
      <c r="O140" s="107"/>
      <c r="P140" s="107"/>
      <c r="Q140" s="52"/>
    </row>
    <row r="141" spans="8:17" s="59" customFormat="1" x14ac:dyDescent="0.2">
      <c r="H141" s="58"/>
      <c r="I141" s="101"/>
      <c r="J141" s="101"/>
      <c r="K141" s="58"/>
      <c r="L141" s="58"/>
      <c r="M141" s="105"/>
      <c r="N141" s="106"/>
      <c r="O141" s="107"/>
      <c r="P141" s="107"/>
      <c r="Q141" s="52"/>
    </row>
    <row r="142" spans="8:17" s="59" customFormat="1" x14ac:dyDescent="0.2">
      <c r="H142" s="58"/>
      <c r="I142" s="101"/>
      <c r="J142" s="101"/>
      <c r="K142" s="58"/>
      <c r="L142" s="58"/>
      <c r="M142" s="105"/>
      <c r="N142" s="106"/>
      <c r="O142" s="107"/>
      <c r="P142" s="107"/>
      <c r="Q142" s="52"/>
    </row>
    <row r="143" spans="8:17" s="59" customFormat="1" x14ac:dyDescent="0.2">
      <c r="H143" s="58"/>
      <c r="I143" s="101"/>
      <c r="J143" s="101"/>
      <c r="K143" s="58"/>
      <c r="L143" s="58"/>
      <c r="M143" s="105"/>
      <c r="N143" s="106"/>
      <c r="O143" s="107"/>
      <c r="P143" s="107"/>
      <c r="Q143" s="52"/>
    </row>
    <row r="144" spans="8:17" s="59" customFormat="1" x14ac:dyDescent="0.2">
      <c r="H144" s="58"/>
      <c r="I144" s="101"/>
      <c r="J144" s="101"/>
      <c r="K144" s="58"/>
      <c r="L144" s="58"/>
      <c r="M144" s="105"/>
      <c r="N144" s="106"/>
      <c r="O144" s="107"/>
      <c r="P144" s="107"/>
      <c r="Q144" s="52"/>
    </row>
    <row r="145" spans="8:17" s="59" customFormat="1" x14ac:dyDescent="0.2">
      <c r="H145" s="58"/>
      <c r="I145" s="101"/>
      <c r="J145" s="101"/>
      <c r="K145" s="58"/>
      <c r="L145" s="58"/>
      <c r="M145" s="105"/>
      <c r="N145" s="106"/>
      <c r="O145" s="107"/>
      <c r="P145" s="107"/>
      <c r="Q145" s="52"/>
    </row>
    <row r="146" spans="8:17" s="59" customFormat="1" x14ac:dyDescent="0.2">
      <c r="H146" s="58"/>
      <c r="I146" s="101"/>
      <c r="J146" s="101"/>
      <c r="K146" s="58"/>
      <c r="L146" s="58"/>
      <c r="M146" s="105"/>
      <c r="N146" s="106"/>
      <c r="O146" s="107"/>
      <c r="P146" s="107"/>
      <c r="Q146" s="52"/>
    </row>
    <row r="147" spans="8:17" s="59" customFormat="1" x14ac:dyDescent="0.2">
      <c r="H147" s="58"/>
      <c r="I147" s="101"/>
      <c r="J147" s="101"/>
      <c r="K147" s="58"/>
      <c r="L147" s="58"/>
      <c r="M147" s="105"/>
      <c r="N147" s="106"/>
      <c r="O147" s="107"/>
      <c r="P147" s="107"/>
      <c r="Q147" s="52"/>
    </row>
    <row r="148" spans="8:17" s="59" customFormat="1" x14ac:dyDescent="0.2">
      <c r="H148" s="58"/>
      <c r="I148" s="101"/>
      <c r="J148" s="101"/>
      <c r="K148" s="58"/>
      <c r="L148" s="58"/>
      <c r="M148" s="105"/>
      <c r="N148" s="106"/>
      <c r="O148" s="107"/>
      <c r="P148" s="107"/>
      <c r="Q148" s="52"/>
    </row>
    <row r="149" spans="8:17" s="59" customFormat="1" x14ac:dyDescent="0.2">
      <c r="H149" s="58"/>
      <c r="I149" s="101"/>
      <c r="J149" s="101"/>
      <c r="K149" s="58"/>
      <c r="L149" s="58"/>
      <c r="M149" s="105"/>
      <c r="N149" s="106"/>
      <c r="O149" s="107"/>
      <c r="P149" s="107"/>
      <c r="Q149" s="52"/>
    </row>
    <row r="150" spans="8:17" s="59" customFormat="1" x14ac:dyDescent="0.2">
      <c r="H150" s="58"/>
      <c r="I150" s="101"/>
      <c r="J150" s="101"/>
      <c r="K150" s="58"/>
      <c r="L150" s="58"/>
      <c r="M150" s="105"/>
      <c r="N150" s="106"/>
      <c r="O150" s="107"/>
      <c r="P150" s="107"/>
      <c r="Q150" s="52"/>
    </row>
    <row r="151" spans="8:17" s="59" customFormat="1" x14ac:dyDescent="0.2">
      <c r="H151" s="58"/>
      <c r="I151" s="101"/>
      <c r="J151" s="101"/>
      <c r="K151" s="58"/>
      <c r="L151" s="58"/>
      <c r="M151" s="105"/>
      <c r="N151" s="106"/>
      <c r="O151" s="107"/>
      <c r="P151" s="107"/>
      <c r="Q151" s="52"/>
    </row>
    <row r="152" spans="8:17" s="59" customFormat="1" x14ac:dyDescent="0.2">
      <c r="H152" s="58"/>
      <c r="I152" s="101"/>
      <c r="J152" s="101"/>
      <c r="K152" s="58"/>
      <c r="L152" s="58"/>
      <c r="M152" s="105"/>
      <c r="N152" s="106"/>
      <c r="O152" s="107"/>
      <c r="P152" s="107"/>
      <c r="Q152" s="52"/>
    </row>
    <row r="153" spans="8:17" s="59" customFormat="1" x14ac:dyDescent="0.2">
      <c r="H153" s="58"/>
      <c r="I153" s="101"/>
      <c r="J153" s="101"/>
      <c r="K153" s="58"/>
      <c r="L153" s="58"/>
      <c r="M153" s="105"/>
      <c r="N153" s="106"/>
      <c r="O153" s="107"/>
      <c r="P153" s="107"/>
      <c r="Q153" s="52"/>
    </row>
    <row r="154" spans="8:17" s="59" customFormat="1" x14ac:dyDescent="0.2">
      <c r="H154" s="58"/>
      <c r="I154" s="101"/>
      <c r="J154" s="101"/>
      <c r="K154" s="58"/>
      <c r="L154" s="58"/>
      <c r="M154" s="105"/>
      <c r="N154" s="106"/>
      <c r="O154" s="107"/>
      <c r="P154" s="107"/>
      <c r="Q154" s="52"/>
    </row>
    <row r="155" spans="8:17" s="59" customFormat="1" x14ac:dyDescent="0.2">
      <c r="H155" s="58"/>
      <c r="I155" s="101"/>
      <c r="J155" s="101"/>
      <c r="K155" s="58"/>
      <c r="L155" s="58"/>
      <c r="M155" s="105"/>
      <c r="N155" s="106"/>
      <c r="O155" s="107"/>
      <c r="P155" s="107"/>
      <c r="Q155" s="52"/>
    </row>
    <row r="156" spans="8:17" s="59" customFormat="1" x14ac:dyDescent="0.2">
      <c r="H156" s="58"/>
      <c r="I156" s="101"/>
      <c r="J156" s="101"/>
      <c r="K156" s="58"/>
      <c r="L156" s="58"/>
      <c r="M156" s="105"/>
      <c r="N156" s="106"/>
      <c r="O156" s="107"/>
      <c r="P156" s="107"/>
      <c r="Q156" s="52"/>
    </row>
    <row r="157" spans="8:17" s="59" customFormat="1" x14ac:dyDescent="0.2">
      <c r="H157" s="58"/>
      <c r="I157" s="101"/>
      <c r="J157" s="101"/>
      <c r="K157" s="58"/>
      <c r="L157" s="58"/>
      <c r="M157" s="105"/>
      <c r="N157" s="106"/>
      <c r="O157" s="107"/>
      <c r="P157" s="107"/>
      <c r="Q157" s="52"/>
    </row>
    <row r="158" spans="8:17" s="59" customFormat="1" x14ac:dyDescent="0.2">
      <c r="H158" s="58"/>
      <c r="I158" s="101"/>
      <c r="J158" s="101"/>
      <c r="K158" s="58"/>
      <c r="L158" s="58"/>
      <c r="M158" s="105"/>
      <c r="N158" s="106"/>
      <c r="O158" s="107"/>
      <c r="P158" s="107"/>
      <c r="Q158" s="52"/>
    </row>
    <row r="159" spans="8:17" s="59" customFormat="1" x14ac:dyDescent="0.2">
      <c r="H159" s="58"/>
      <c r="I159" s="101"/>
      <c r="J159" s="101"/>
      <c r="K159" s="58"/>
      <c r="L159" s="58"/>
      <c r="M159" s="105"/>
      <c r="N159" s="106"/>
      <c r="O159" s="107"/>
      <c r="P159" s="107"/>
      <c r="Q159" s="52"/>
    </row>
    <row r="160" spans="8:17" s="59" customFormat="1" x14ac:dyDescent="0.2">
      <c r="H160" s="58"/>
      <c r="I160" s="101"/>
      <c r="J160" s="101"/>
      <c r="K160" s="58"/>
      <c r="L160" s="58"/>
      <c r="M160" s="105"/>
      <c r="N160" s="106"/>
      <c r="O160" s="107"/>
      <c r="P160" s="107"/>
      <c r="Q160" s="52"/>
    </row>
    <row r="161" spans="8:17" s="59" customFormat="1" x14ac:dyDescent="0.2">
      <c r="H161" s="58"/>
      <c r="I161" s="101"/>
      <c r="J161" s="101"/>
      <c r="K161" s="58"/>
      <c r="L161" s="58"/>
      <c r="M161" s="105"/>
      <c r="N161" s="106"/>
      <c r="O161" s="107"/>
      <c r="P161" s="107"/>
      <c r="Q161" s="52"/>
    </row>
    <row r="162" spans="8:17" s="59" customFormat="1" x14ac:dyDescent="0.2">
      <c r="H162" s="58"/>
      <c r="I162" s="101"/>
      <c r="J162" s="101"/>
      <c r="K162" s="58"/>
      <c r="L162" s="58"/>
      <c r="M162" s="105"/>
      <c r="N162" s="106"/>
      <c r="O162" s="107"/>
      <c r="P162" s="107"/>
      <c r="Q162" s="52"/>
    </row>
    <row r="163" spans="8:17" s="59" customFormat="1" x14ac:dyDescent="0.2">
      <c r="H163" s="58"/>
      <c r="I163" s="101"/>
      <c r="J163" s="101"/>
      <c r="K163" s="58"/>
      <c r="L163" s="58"/>
      <c r="M163" s="105"/>
      <c r="N163" s="106"/>
      <c r="O163" s="107"/>
      <c r="P163" s="107"/>
      <c r="Q163" s="52"/>
    </row>
    <row r="164" spans="8:17" s="59" customFormat="1" x14ac:dyDescent="0.2">
      <c r="H164" s="58"/>
      <c r="I164" s="101"/>
      <c r="J164" s="101"/>
      <c r="K164" s="58"/>
      <c r="L164" s="58"/>
      <c r="M164" s="105"/>
      <c r="N164" s="106"/>
      <c r="O164" s="107"/>
      <c r="P164" s="107"/>
      <c r="Q164" s="52"/>
    </row>
    <row r="165" spans="8:17" s="59" customFormat="1" x14ac:dyDescent="0.2">
      <c r="H165" s="58"/>
      <c r="I165" s="101"/>
      <c r="J165" s="101"/>
      <c r="K165" s="58"/>
      <c r="L165" s="58"/>
      <c r="M165" s="105"/>
      <c r="N165" s="106"/>
      <c r="O165" s="107"/>
      <c r="P165" s="107"/>
      <c r="Q165" s="52"/>
    </row>
    <row r="166" spans="8:17" s="59" customFormat="1" x14ac:dyDescent="0.2">
      <c r="H166" s="58"/>
      <c r="I166" s="101"/>
      <c r="J166" s="101"/>
      <c r="K166" s="58"/>
      <c r="L166" s="58"/>
      <c r="M166" s="105"/>
      <c r="N166" s="106"/>
      <c r="O166" s="107"/>
      <c r="P166" s="107"/>
      <c r="Q166" s="52"/>
    </row>
    <row r="167" spans="8:17" s="59" customFormat="1" x14ac:dyDescent="0.2">
      <c r="H167" s="58"/>
      <c r="I167" s="101"/>
      <c r="J167" s="101"/>
      <c r="K167" s="58"/>
      <c r="L167" s="58"/>
      <c r="M167" s="105"/>
      <c r="N167" s="106"/>
      <c r="O167" s="107"/>
      <c r="P167" s="107"/>
      <c r="Q167" s="52"/>
    </row>
    <row r="168" spans="8:17" s="59" customFormat="1" x14ac:dyDescent="0.2">
      <c r="H168" s="58"/>
      <c r="I168" s="101"/>
      <c r="J168" s="101"/>
      <c r="K168" s="58"/>
      <c r="L168" s="58"/>
      <c r="M168" s="105"/>
      <c r="N168" s="106"/>
      <c r="O168" s="107"/>
      <c r="P168" s="107"/>
      <c r="Q168" s="52"/>
    </row>
    <row r="169" spans="8:17" s="59" customFormat="1" x14ac:dyDescent="0.2">
      <c r="H169" s="58"/>
      <c r="I169" s="101"/>
      <c r="J169" s="101"/>
      <c r="K169" s="58"/>
      <c r="L169" s="58"/>
      <c r="M169" s="105"/>
      <c r="N169" s="106"/>
      <c r="O169" s="107"/>
      <c r="P169" s="107"/>
      <c r="Q169" s="52"/>
    </row>
    <row r="170" spans="8:17" s="59" customFormat="1" x14ac:dyDescent="0.2">
      <c r="H170" s="58"/>
      <c r="I170" s="101"/>
      <c r="J170" s="101"/>
      <c r="K170" s="58"/>
      <c r="L170" s="58"/>
      <c r="M170" s="105"/>
      <c r="N170" s="106"/>
      <c r="O170" s="107"/>
      <c r="P170" s="107"/>
      <c r="Q170" s="52"/>
    </row>
    <row r="171" spans="8:17" s="59" customFormat="1" x14ac:dyDescent="0.2">
      <c r="H171" s="58"/>
      <c r="I171" s="101"/>
      <c r="J171" s="101"/>
      <c r="K171" s="58"/>
      <c r="L171" s="58"/>
      <c r="M171" s="105"/>
      <c r="N171" s="106"/>
      <c r="O171" s="107"/>
      <c r="P171" s="107"/>
      <c r="Q171" s="52"/>
    </row>
    <row r="172" spans="8:17" s="59" customFormat="1" x14ac:dyDescent="0.2">
      <c r="H172" s="58"/>
      <c r="I172" s="101"/>
      <c r="J172" s="101"/>
      <c r="K172" s="58"/>
      <c r="L172" s="58"/>
      <c r="M172" s="105"/>
      <c r="N172" s="106"/>
      <c r="O172" s="107"/>
      <c r="P172" s="107"/>
      <c r="Q172" s="52"/>
    </row>
    <row r="173" spans="8:17" s="59" customFormat="1" x14ac:dyDescent="0.2">
      <c r="H173" s="58"/>
      <c r="I173" s="101"/>
      <c r="J173" s="101"/>
      <c r="K173" s="58"/>
      <c r="L173" s="58"/>
      <c r="M173" s="105"/>
      <c r="N173" s="106"/>
      <c r="O173" s="107"/>
      <c r="P173" s="107"/>
      <c r="Q173" s="52"/>
    </row>
    <row r="174" spans="8:17" s="59" customFormat="1" x14ac:dyDescent="0.2">
      <c r="H174" s="58"/>
      <c r="I174" s="101"/>
      <c r="J174" s="101"/>
      <c r="K174" s="58"/>
      <c r="L174" s="58"/>
      <c r="M174" s="105"/>
      <c r="N174" s="106"/>
      <c r="O174" s="107"/>
      <c r="P174" s="107"/>
      <c r="Q174" s="52"/>
    </row>
    <row r="175" spans="8:17" s="59" customFormat="1" x14ac:dyDescent="0.2">
      <c r="H175" s="58"/>
      <c r="I175" s="101"/>
      <c r="J175" s="101"/>
      <c r="K175" s="58"/>
      <c r="L175" s="58"/>
      <c r="M175" s="105"/>
      <c r="N175" s="106"/>
      <c r="O175" s="107"/>
      <c r="P175" s="107"/>
      <c r="Q175" s="52"/>
    </row>
    <row r="176" spans="8:17" s="59" customFormat="1" x14ac:dyDescent="0.2">
      <c r="H176" s="58"/>
      <c r="I176" s="101"/>
      <c r="J176" s="101"/>
      <c r="K176" s="58"/>
      <c r="L176" s="58"/>
      <c r="M176" s="105"/>
      <c r="N176" s="106"/>
      <c r="O176" s="107"/>
      <c r="P176" s="107"/>
      <c r="Q176" s="52"/>
    </row>
    <row r="177" spans="8:52" s="59" customFormat="1" x14ac:dyDescent="0.2">
      <c r="H177" s="58"/>
      <c r="I177" s="101"/>
      <c r="J177" s="101"/>
      <c r="K177" s="58"/>
      <c r="L177" s="58"/>
      <c r="M177" s="105"/>
      <c r="N177" s="106"/>
      <c r="O177" s="107"/>
      <c r="P177" s="107"/>
      <c r="Q177" s="52"/>
    </row>
    <row r="178" spans="8:52" s="59" customFormat="1" x14ac:dyDescent="0.2">
      <c r="H178" s="58"/>
      <c r="I178" s="101"/>
      <c r="J178" s="101"/>
      <c r="K178" s="58"/>
      <c r="L178" s="58"/>
      <c r="M178" s="105"/>
      <c r="N178" s="106"/>
      <c r="O178" s="107"/>
      <c r="P178" s="107"/>
      <c r="Q178" s="52"/>
    </row>
    <row r="179" spans="8:52" s="59" customFormat="1" x14ac:dyDescent="0.2">
      <c r="H179" s="58"/>
      <c r="I179" s="101"/>
      <c r="J179" s="101"/>
      <c r="K179" s="58"/>
      <c r="L179" s="58"/>
      <c r="M179" s="105"/>
      <c r="N179" s="106"/>
      <c r="O179" s="107"/>
      <c r="P179" s="107"/>
      <c r="Q179" s="52"/>
    </row>
    <row r="180" spans="8:52" s="59" customFormat="1" x14ac:dyDescent="0.2">
      <c r="H180" s="58"/>
      <c r="I180" s="101"/>
      <c r="J180" s="101"/>
      <c r="K180" s="58"/>
      <c r="L180" s="58"/>
      <c r="M180" s="105"/>
      <c r="N180" s="106"/>
      <c r="O180" s="107"/>
      <c r="P180" s="107"/>
      <c r="Q180" s="52"/>
    </row>
    <row r="181" spans="8:52" s="59" customFormat="1" x14ac:dyDescent="0.2">
      <c r="H181" s="58"/>
      <c r="I181" s="101"/>
      <c r="J181" s="101"/>
      <c r="K181" s="58"/>
      <c r="L181" s="58"/>
      <c r="M181" s="105"/>
      <c r="N181" s="106"/>
      <c r="O181" s="107"/>
      <c r="P181" s="107"/>
      <c r="Q181" s="52"/>
    </row>
    <row r="182" spans="8:52" s="59" customFormat="1" x14ac:dyDescent="0.2">
      <c r="H182" s="58"/>
      <c r="I182" s="101"/>
      <c r="J182" s="101"/>
      <c r="K182" s="58"/>
      <c r="L182" s="58"/>
      <c r="M182" s="105"/>
      <c r="N182" s="106"/>
      <c r="O182" s="107"/>
      <c r="P182" s="107"/>
      <c r="Q182" s="52"/>
      <c r="S182" s="52"/>
      <c r="T182" s="52"/>
      <c r="U182" s="52"/>
      <c r="V182" s="52"/>
      <c r="W182" s="52"/>
      <c r="X182" s="52"/>
      <c r="Y182" s="52"/>
      <c r="Z182" s="52"/>
      <c r="AA182" s="52"/>
      <c r="AB182" s="52"/>
      <c r="AC182" s="52"/>
      <c r="AD182" s="52"/>
      <c r="AE182" s="52"/>
      <c r="AF182" s="52"/>
      <c r="AG182" s="52"/>
      <c r="AH182" s="52"/>
      <c r="AI182" s="52"/>
      <c r="AJ182" s="52"/>
      <c r="AK182" s="52"/>
      <c r="AL182" s="52"/>
      <c r="AM182" s="52"/>
      <c r="AN182" s="52"/>
      <c r="AO182" s="52"/>
      <c r="AP182" s="52"/>
      <c r="AQ182" s="52"/>
      <c r="AR182" s="52"/>
      <c r="AS182" s="52"/>
      <c r="AT182" s="52"/>
      <c r="AU182" s="52"/>
      <c r="AV182" s="52"/>
      <c r="AW182" s="52"/>
      <c r="AX182" s="52"/>
      <c r="AY182" s="52"/>
      <c r="AZ182" s="52"/>
    </row>
    <row r="183" spans="8:52" s="59" customFormat="1" x14ac:dyDescent="0.2">
      <c r="H183" s="58"/>
      <c r="I183" s="101"/>
      <c r="J183" s="101"/>
      <c r="K183" s="58"/>
      <c r="L183" s="58"/>
      <c r="M183" s="105"/>
      <c r="N183" s="106"/>
      <c r="O183" s="107"/>
      <c r="P183" s="107"/>
      <c r="Q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c r="AP183" s="52"/>
      <c r="AQ183" s="52"/>
      <c r="AR183" s="52"/>
      <c r="AS183" s="52"/>
      <c r="AT183" s="52"/>
      <c r="AU183" s="52"/>
      <c r="AV183" s="52"/>
      <c r="AW183" s="52"/>
      <c r="AX183" s="52"/>
      <c r="AY183" s="52"/>
      <c r="AZ183" s="52"/>
    </row>
    <row r="184" spans="8:52" s="59" customFormat="1" x14ac:dyDescent="0.2">
      <c r="H184" s="58"/>
      <c r="I184" s="101"/>
      <c r="J184" s="101"/>
      <c r="K184" s="58"/>
      <c r="L184" s="58"/>
      <c r="M184" s="105"/>
      <c r="N184" s="106"/>
      <c r="O184" s="107"/>
      <c r="P184" s="107"/>
      <c r="Q184" s="52"/>
      <c r="S184" s="52"/>
      <c r="T184" s="52"/>
      <c r="U184" s="52"/>
      <c r="V184" s="52"/>
      <c r="W184" s="52"/>
      <c r="X184" s="52"/>
      <c r="Y184" s="52"/>
      <c r="Z184" s="52"/>
      <c r="AA184" s="52"/>
      <c r="AB184" s="52"/>
      <c r="AC184" s="52"/>
      <c r="AD184" s="52"/>
      <c r="AE184" s="52"/>
      <c r="AF184" s="52"/>
      <c r="AG184" s="52"/>
      <c r="AH184" s="52"/>
      <c r="AI184" s="52"/>
      <c r="AJ184" s="52"/>
      <c r="AK184" s="52"/>
      <c r="AL184" s="52"/>
      <c r="AM184" s="52"/>
      <c r="AN184" s="52"/>
      <c r="AO184" s="52"/>
      <c r="AP184" s="52"/>
      <c r="AQ184" s="52"/>
      <c r="AR184" s="52"/>
      <c r="AS184" s="52"/>
      <c r="AT184" s="52"/>
      <c r="AU184" s="52"/>
      <c r="AV184" s="52"/>
      <c r="AW184" s="52"/>
      <c r="AX184" s="52"/>
      <c r="AY184" s="52"/>
      <c r="AZ184" s="52"/>
    </row>
    <row r="185" spans="8:52" s="59" customFormat="1" x14ac:dyDescent="0.2">
      <c r="H185" s="58"/>
      <c r="I185" s="101"/>
      <c r="J185" s="101"/>
      <c r="K185" s="58"/>
      <c r="L185" s="58"/>
      <c r="M185" s="105"/>
      <c r="N185" s="106"/>
      <c r="O185" s="107"/>
      <c r="P185" s="107"/>
      <c r="Q185" s="52"/>
      <c r="S185" s="52"/>
      <c r="T185" s="52"/>
      <c r="U185" s="52"/>
      <c r="V185" s="52"/>
      <c r="W185" s="52"/>
      <c r="X185" s="52"/>
      <c r="Y185" s="52"/>
      <c r="Z185" s="52"/>
      <c r="AA185" s="52"/>
      <c r="AB185" s="52"/>
      <c r="AC185" s="52"/>
      <c r="AD185" s="52"/>
      <c r="AE185" s="52"/>
      <c r="AF185" s="52"/>
      <c r="AG185" s="52"/>
      <c r="AH185" s="52"/>
      <c r="AI185" s="52"/>
      <c r="AJ185" s="52"/>
      <c r="AK185" s="52"/>
      <c r="AL185" s="52"/>
      <c r="AM185" s="52"/>
      <c r="AN185" s="52"/>
      <c r="AO185" s="52"/>
      <c r="AP185" s="52"/>
      <c r="AQ185" s="52"/>
      <c r="AR185" s="52"/>
      <c r="AS185" s="52"/>
      <c r="AT185" s="52"/>
      <c r="AU185" s="52"/>
      <c r="AV185" s="52"/>
      <c r="AW185" s="52"/>
      <c r="AX185" s="52"/>
      <c r="AY185" s="52"/>
      <c r="AZ185" s="52"/>
    </row>
    <row r="186" spans="8:52" s="59" customFormat="1" x14ac:dyDescent="0.2">
      <c r="H186" s="58"/>
      <c r="I186" s="101"/>
      <c r="J186" s="101"/>
      <c r="K186" s="58"/>
      <c r="L186" s="58"/>
      <c r="M186" s="105"/>
      <c r="N186" s="106"/>
      <c r="O186" s="107"/>
      <c r="P186" s="107"/>
      <c r="Q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52"/>
      <c r="AQ186" s="52"/>
      <c r="AR186" s="52"/>
      <c r="AS186" s="52"/>
      <c r="AT186" s="52"/>
      <c r="AU186" s="52"/>
      <c r="AV186" s="52"/>
      <c r="AW186" s="52"/>
      <c r="AX186" s="52"/>
      <c r="AY186" s="52"/>
      <c r="AZ186" s="52"/>
    </row>
    <row r="187" spans="8:52" s="59" customFormat="1" x14ac:dyDescent="0.2">
      <c r="H187" s="58"/>
      <c r="I187" s="101"/>
      <c r="J187" s="101"/>
      <c r="K187" s="58"/>
      <c r="L187" s="58"/>
      <c r="M187" s="105"/>
      <c r="N187" s="106"/>
      <c r="O187" s="107"/>
      <c r="P187" s="107"/>
      <c r="Q187" s="52"/>
      <c r="S187" s="52"/>
      <c r="T187" s="52"/>
      <c r="U187" s="52"/>
      <c r="V187" s="52"/>
      <c r="W187" s="52"/>
      <c r="X187" s="52"/>
      <c r="Y187" s="52"/>
      <c r="Z187" s="52"/>
      <c r="AA187" s="52"/>
      <c r="AB187" s="52"/>
      <c r="AC187" s="52"/>
      <c r="AD187" s="52"/>
      <c r="AE187" s="52"/>
      <c r="AF187" s="52"/>
      <c r="AG187" s="52"/>
      <c r="AH187" s="52"/>
      <c r="AI187" s="52"/>
      <c r="AJ187" s="52"/>
      <c r="AK187" s="52"/>
      <c r="AL187" s="52"/>
      <c r="AM187" s="52"/>
      <c r="AN187" s="52"/>
      <c r="AO187" s="52"/>
      <c r="AP187" s="52"/>
      <c r="AQ187" s="52"/>
      <c r="AR187" s="52"/>
      <c r="AS187" s="52"/>
      <c r="AT187" s="52"/>
      <c r="AU187" s="52"/>
      <c r="AV187" s="52"/>
      <c r="AW187" s="52"/>
      <c r="AX187" s="52"/>
      <c r="AY187" s="52"/>
      <c r="AZ187" s="52"/>
    </row>
    <row r="188" spans="8:52" s="59" customFormat="1" x14ac:dyDescent="0.2">
      <c r="H188" s="58"/>
      <c r="I188" s="101"/>
      <c r="J188" s="101"/>
      <c r="K188" s="58"/>
      <c r="L188" s="58"/>
      <c r="M188" s="105"/>
      <c r="N188" s="106"/>
      <c r="O188" s="107"/>
      <c r="P188" s="107"/>
      <c r="Q188" s="52"/>
      <c r="S188" s="52"/>
      <c r="T188" s="52"/>
      <c r="U188" s="52"/>
      <c r="V188" s="52"/>
      <c r="W188" s="52"/>
      <c r="X188" s="52"/>
      <c r="Y188" s="52"/>
      <c r="Z188" s="52"/>
      <c r="AA188" s="52"/>
      <c r="AB188" s="52"/>
      <c r="AC188" s="52"/>
      <c r="AD188" s="52"/>
      <c r="AE188" s="52"/>
      <c r="AF188" s="52"/>
      <c r="AG188" s="52"/>
      <c r="AH188" s="52"/>
      <c r="AI188" s="52"/>
      <c r="AJ188" s="52"/>
      <c r="AK188" s="52"/>
      <c r="AL188" s="52"/>
      <c r="AM188" s="52"/>
      <c r="AN188" s="52"/>
      <c r="AO188" s="52"/>
      <c r="AP188" s="52"/>
      <c r="AQ188" s="52"/>
      <c r="AR188" s="52"/>
      <c r="AS188" s="52"/>
      <c r="AT188" s="52"/>
      <c r="AU188" s="52"/>
      <c r="AV188" s="52"/>
      <c r="AW188" s="52"/>
      <c r="AX188" s="52"/>
      <c r="AY188" s="52"/>
      <c r="AZ188" s="52"/>
    </row>
    <row r="189" spans="8:52" s="59" customFormat="1" x14ac:dyDescent="0.2">
      <c r="H189" s="58"/>
      <c r="I189" s="101"/>
      <c r="J189" s="101"/>
      <c r="K189" s="58"/>
      <c r="L189" s="58"/>
      <c r="M189" s="105"/>
      <c r="N189" s="106"/>
      <c r="O189" s="107"/>
      <c r="P189" s="107"/>
      <c r="Q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52"/>
      <c r="AQ189" s="52"/>
      <c r="AR189" s="52"/>
      <c r="AS189" s="52"/>
      <c r="AT189" s="52"/>
      <c r="AU189" s="52"/>
      <c r="AV189" s="52"/>
      <c r="AW189" s="52"/>
      <c r="AX189" s="52"/>
      <c r="AY189" s="52"/>
      <c r="AZ189" s="52"/>
    </row>
    <row r="190" spans="8:52" s="59" customFormat="1" x14ac:dyDescent="0.2">
      <c r="H190" s="58"/>
      <c r="I190" s="101"/>
      <c r="J190" s="101"/>
      <c r="K190" s="58"/>
      <c r="L190" s="58"/>
      <c r="M190" s="105"/>
      <c r="N190" s="106"/>
      <c r="O190" s="107"/>
      <c r="P190" s="107"/>
      <c r="Q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c r="AP190" s="52"/>
      <c r="AQ190" s="52"/>
      <c r="AR190" s="52"/>
      <c r="AS190" s="52"/>
      <c r="AT190" s="52"/>
      <c r="AU190" s="52"/>
      <c r="AV190" s="52"/>
      <c r="AW190" s="52"/>
      <c r="AX190" s="52"/>
      <c r="AY190" s="52"/>
      <c r="AZ190" s="52"/>
    </row>
    <row r="191" spans="8:52" s="59" customFormat="1" x14ac:dyDescent="0.2">
      <c r="H191" s="58"/>
      <c r="I191" s="101"/>
      <c r="J191" s="101"/>
      <c r="K191" s="58"/>
      <c r="L191" s="58"/>
      <c r="M191" s="105"/>
      <c r="N191" s="106"/>
      <c r="O191" s="107"/>
      <c r="P191" s="107"/>
      <c r="Q191" s="52"/>
      <c r="S191" s="52"/>
      <c r="T191" s="52"/>
      <c r="U191" s="52"/>
      <c r="V191" s="52"/>
      <c r="W191" s="52"/>
      <c r="X191" s="52"/>
      <c r="Y191" s="52"/>
      <c r="Z191" s="52"/>
      <c r="AA191" s="52"/>
      <c r="AB191" s="52"/>
      <c r="AC191" s="52"/>
      <c r="AD191" s="52"/>
      <c r="AE191" s="52"/>
      <c r="AF191" s="52"/>
      <c r="AG191" s="52"/>
      <c r="AH191" s="52"/>
      <c r="AI191" s="52"/>
      <c r="AJ191" s="52"/>
      <c r="AK191" s="52"/>
      <c r="AL191" s="52"/>
      <c r="AM191" s="52"/>
      <c r="AN191" s="52"/>
      <c r="AO191" s="52"/>
      <c r="AP191" s="52"/>
      <c r="AQ191" s="52"/>
      <c r="AR191" s="52"/>
      <c r="AS191" s="52"/>
      <c r="AT191" s="52"/>
      <c r="AU191" s="52"/>
      <c r="AV191" s="52"/>
      <c r="AW191" s="52"/>
      <c r="AX191" s="52"/>
      <c r="AY191" s="52"/>
      <c r="AZ191" s="52"/>
    </row>
    <row r="192" spans="8:52" s="59" customFormat="1" x14ac:dyDescent="0.2">
      <c r="H192" s="58"/>
      <c r="I192" s="101"/>
      <c r="J192" s="101"/>
      <c r="K192" s="58"/>
      <c r="L192" s="58"/>
      <c r="M192" s="105"/>
      <c r="N192" s="106"/>
      <c r="O192" s="107"/>
      <c r="P192" s="107"/>
      <c r="Q192" s="52"/>
      <c r="S192" s="52"/>
      <c r="T192" s="52"/>
      <c r="U192" s="52"/>
      <c r="V192" s="52"/>
      <c r="W192" s="52"/>
      <c r="X192" s="52"/>
      <c r="Y192" s="52"/>
      <c r="Z192" s="52"/>
      <c r="AA192" s="52"/>
      <c r="AB192" s="52"/>
      <c r="AC192" s="52"/>
      <c r="AD192" s="52"/>
      <c r="AE192" s="52"/>
      <c r="AF192" s="52"/>
      <c r="AG192" s="52"/>
      <c r="AH192" s="52"/>
      <c r="AI192" s="52"/>
      <c r="AJ192" s="52"/>
      <c r="AK192" s="52"/>
      <c r="AL192" s="52"/>
      <c r="AM192" s="52"/>
      <c r="AN192" s="52"/>
      <c r="AO192" s="52"/>
      <c r="AP192" s="52"/>
      <c r="AQ192" s="52"/>
      <c r="AR192" s="52"/>
      <c r="AS192" s="52"/>
      <c r="AT192" s="52"/>
      <c r="AU192" s="52"/>
      <c r="AV192" s="52"/>
      <c r="AW192" s="52"/>
      <c r="AX192" s="52"/>
      <c r="AY192" s="52"/>
      <c r="AZ192" s="52"/>
    </row>
    <row r="193" spans="8:52" s="59" customFormat="1" x14ac:dyDescent="0.2">
      <c r="H193" s="58"/>
      <c r="I193" s="101"/>
      <c r="J193" s="101"/>
      <c r="K193" s="58"/>
      <c r="L193" s="58"/>
      <c r="M193" s="105"/>
      <c r="N193" s="106"/>
      <c r="O193" s="107"/>
      <c r="P193" s="107"/>
      <c r="Q193" s="52"/>
      <c r="S193" s="52"/>
      <c r="T193" s="52"/>
      <c r="U193" s="52"/>
      <c r="V193" s="52"/>
      <c r="W193" s="52"/>
      <c r="X193" s="52"/>
      <c r="Y193" s="52"/>
      <c r="Z193" s="52"/>
      <c r="AA193" s="52"/>
      <c r="AB193" s="52"/>
      <c r="AC193" s="52"/>
      <c r="AD193" s="52"/>
      <c r="AE193" s="52"/>
      <c r="AF193" s="52"/>
      <c r="AG193" s="52"/>
      <c r="AH193" s="52"/>
      <c r="AI193" s="52"/>
      <c r="AJ193" s="52"/>
      <c r="AK193" s="52"/>
      <c r="AL193" s="52"/>
      <c r="AM193" s="52"/>
      <c r="AN193" s="52"/>
      <c r="AO193" s="52"/>
      <c r="AP193" s="52"/>
      <c r="AQ193" s="52"/>
      <c r="AR193" s="52"/>
      <c r="AS193" s="52"/>
      <c r="AT193" s="52"/>
      <c r="AU193" s="52"/>
      <c r="AV193" s="52"/>
      <c r="AW193" s="52"/>
      <c r="AX193" s="52"/>
      <c r="AY193" s="52"/>
      <c r="AZ193" s="52"/>
    </row>
    <row r="194" spans="8:52" s="59" customFormat="1" x14ac:dyDescent="0.2">
      <c r="H194" s="58"/>
      <c r="I194" s="101"/>
      <c r="J194" s="101"/>
      <c r="K194" s="58"/>
      <c r="L194" s="58"/>
      <c r="M194" s="105"/>
      <c r="N194" s="106"/>
      <c r="O194" s="107"/>
      <c r="P194" s="107"/>
      <c r="Q194" s="52"/>
      <c r="S194" s="52"/>
      <c r="T194" s="52"/>
      <c r="U194" s="52"/>
      <c r="V194" s="52"/>
      <c r="W194" s="52"/>
      <c r="X194" s="52"/>
      <c r="Y194" s="52"/>
      <c r="Z194" s="52"/>
      <c r="AA194" s="52"/>
      <c r="AB194" s="52"/>
      <c r="AC194" s="52"/>
      <c r="AD194" s="52"/>
      <c r="AE194" s="52"/>
      <c r="AF194" s="52"/>
      <c r="AG194" s="52"/>
      <c r="AH194" s="52"/>
      <c r="AI194" s="52"/>
      <c r="AJ194" s="52"/>
      <c r="AK194" s="52"/>
      <c r="AL194" s="52"/>
      <c r="AM194" s="52"/>
      <c r="AN194" s="52"/>
      <c r="AO194" s="52"/>
      <c r="AP194" s="52"/>
      <c r="AQ194" s="52"/>
      <c r="AR194" s="52"/>
      <c r="AS194" s="52"/>
      <c r="AT194" s="52"/>
      <c r="AU194" s="52"/>
      <c r="AV194" s="52"/>
      <c r="AW194" s="52"/>
      <c r="AX194" s="52"/>
      <c r="AY194" s="52"/>
      <c r="AZ194" s="52"/>
    </row>
    <row r="195" spans="8:52" s="59" customFormat="1" x14ac:dyDescent="0.2">
      <c r="H195" s="58"/>
      <c r="I195" s="101"/>
      <c r="J195" s="101"/>
      <c r="K195" s="58"/>
      <c r="L195" s="58"/>
      <c r="M195" s="105"/>
      <c r="N195" s="106"/>
      <c r="O195" s="107"/>
      <c r="P195" s="107"/>
      <c r="Q195" s="52"/>
      <c r="S195" s="52"/>
      <c r="T195" s="52"/>
      <c r="U195" s="52"/>
      <c r="V195" s="52"/>
      <c r="W195" s="52"/>
      <c r="X195" s="52"/>
      <c r="Y195" s="52"/>
      <c r="Z195" s="52"/>
      <c r="AA195" s="52"/>
      <c r="AB195" s="52"/>
      <c r="AC195" s="52"/>
      <c r="AD195" s="52"/>
      <c r="AE195" s="52"/>
      <c r="AF195" s="52"/>
      <c r="AG195" s="52"/>
      <c r="AH195" s="52"/>
      <c r="AI195" s="52"/>
      <c r="AJ195" s="52"/>
      <c r="AK195" s="52"/>
      <c r="AL195" s="52"/>
      <c r="AM195" s="52"/>
      <c r="AN195" s="52"/>
      <c r="AO195" s="52"/>
      <c r="AP195" s="52"/>
      <c r="AQ195" s="52"/>
      <c r="AR195" s="52"/>
      <c r="AS195" s="52"/>
      <c r="AT195" s="52"/>
      <c r="AU195" s="52"/>
      <c r="AV195" s="52"/>
      <c r="AW195" s="52"/>
      <c r="AX195" s="52"/>
      <c r="AY195" s="52"/>
      <c r="AZ195" s="52"/>
    </row>
    <row r="196" spans="8:52" s="59" customFormat="1" x14ac:dyDescent="0.2">
      <c r="H196" s="58"/>
      <c r="I196" s="101"/>
      <c r="J196" s="101"/>
      <c r="K196" s="58"/>
      <c r="L196" s="58"/>
      <c r="M196" s="105"/>
      <c r="N196" s="106"/>
      <c r="O196" s="107"/>
      <c r="P196" s="107"/>
      <c r="Q196" s="52"/>
      <c r="S196" s="52"/>
      <c r="T196" s="52"/>
      <c r="U196" s="52"/>
      <c r="V196" s="52"/>
      <c r="W196" s="52"/>
      <c r="X196" s="52"/>
      <c r="Y196" s="52"/>
      <c r="Z196" s="52"/>
      <c r="AA196" s="52"/>
      <c r="AB196" s="52"/>
      <c r="AC196" s="52"/>
      <c r="AD196" s="52"/>
      <c r="AE196" s="52"/>
      <c r="AF196" s="52"/>
      <c r="AG196" s="52"/>
      <c r="AH196" s="52"/>
      <c r="AI196" s="52"/>
      <c r="AJ196" s="52"/>
      <c r="AK196" s="52"/>
      <c r="AL196" s="52"/>
      <c r="AM196" s="52"/>
      <c r="AN196" s="52"/>
      <c r="AO196" s="52"/>
      <c r="AP196" s="52"/>
      <c r="AQ196" s="52"/>
      <c r="AR196" s="52"/>
      <c r="AS196" s="52"/>
      <c r="AT196" s="52"/>
      <c r="AU196" s="52"/>
      <c r="AV196" s="52"/>
      <c r="AW196" s="52"/>
      <c r="AX196" s="52"/>
      <c r="AY196" s="52"/>
      <c r="AZ196" s="52"/>
    </row>
  </sheetData>
  <sheetProtection selectLockedCells="1"/>
  <autoFilter ref="A7:P76" xr:uid="{4E26F09E-7212-437D-B757-4A25745D620E}"/>
  <mergeCells count="2">
    <mergeCell ref="A1:P1"/>
    <mergeCell ref="S5:AZ5"/>
  </mergeCells>
  <conditionalFormatting sqref="S7:AW7">
    <cfRule type="cellIs" dxfId="2" priority="2" stopIfTrue="1" operator="equal">
      <formula>"Samstag"</formula>
    </cfRule>
    <cfRule type="cellIs" dxfId="1" priority="3" stopIfTrue="1" operator="equal">
      <formula>"Sonntag"</formula>
    </cfRule>
  </conditionalFormatting>
  <conditionalFormatting sqref="S8:AW76">
    <cfRule type="cellIs" dxfId="0" priority="1" operator="greaterThan">
      <formula>0</formula>
    </cfRule>
  </conditionalFormatting>
  <printOptions horizontalCentered="1"/>
  <pageMargins left="0.19685039370078741" right="0.19685039370078741" top="0.78740157480314965" bottom="0.78740157480314965" header="0.51181102362204722" footer="0.51181102362204722"/>
  <pageSetup paperSize="8" scale="89" fitToHeight="0" orientation="landscape" r:id="rId1"/>
  <headerFooter alignWithMargins="0">
    <oddHeader>&amp;CAusschreibung Reinigung Gemeinde Oberhaching 2026</oddHeader>
    <oddFooter>&amp;CSeite &amp;P von &amp;N Seiten</oddFooter>
  </headerFooter>
  <rowBreaks count="1" manualBreakCount="1">
    <brk id="51"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8263D-2ADD-44EC-8B71-26719DAA6761}">
  <sheetPr>
    <tabColor theme="7" tint="0.59999389629810485"/>
    <pageSetUpPr fitToPage="1"/>
  </sheetPr>
  <dimension ref="A1:R196"/>
  <sheetViews>
    <sheetView zoomScale="80" zoomScaleNormal="80" zoomScaleSheetLayoutView="70" zoomScalePageLayoutView="60" workbookViewId="0">
      <selection activeCell="I3" sqref="I3"/>
    </sheetView>
  </sheetViews>
  <sheetFormatPr baseColWidth="10" defaultColWidth="11.44140625" defaultRowHeight="12.6" x14ac:dyDescent="0.2"/>
  <cols>
    <col min="1" max="1" width="11.44140625" style="52"/>
    <col min="2" max="2" width="14" style="59" customWidth="1"/>
    <col min="3" max="3" width="9.33203125" style="59" customWidth="1"/>
    <col min="4" max="4" width="29.44140625" style="59" customWidth="1"/>
    <col min="5" max="5" width="20.44140625" style="52" customWidth="1"/>
    <col min="6" max="6" width="13.88671875" style="52" customWidth="1"/>
    <col min="7" max="7" width="14.88671875" style="52" customWidth="1"/>
    <col min="8" max="8" width="14.88671875" style="59" customWidth="1"/>
    <col min="9" max="9" width="10.21875" style="58" customWidth="1"/>
    <col min="10" max="10" width="9.77734375" style="101" customWidth="1"/>
    <col min="11" max="11" width="16.5546875" style="101" customWidth="1"/>
    <col min="12" max="13" width="13.5546875" style="58" customWidth="1"/>
    <col min="14" max="14" width="15.6640625" style="105" customWidth="1"/>
    <col min="15" max="15" width="13.5546875" style="106" customWidth="1"/>
    <col min="16" max="16" width="16.109375" style="107" customWidth="1"/>
    <col min="17" max="17" width="19.109375" style="107" customWidth="1"/>
    <col min="18" max="16384" width="11.44140625" style="52"/>
  </cols>
  <sheetData>
    <row r="1" spans="1:18" ht="30" customHeight="1" x14ac:dyDescent="0.2">
      <c r="A1" s="651" t="s">
        <v>836</v>
      </c>
      <c r="B1" s="651"/>
      <c r="C1" s="651"/>
      <c r="D1" s="651"/>
      <c r="E1" s="651"/>
      <c r="F1" s="651"/>
      <c r="G1" s="651"/>
      <c r="H1" s="651"/>
      <c r="I1" s="651"/>
      <c r="J1" s="651"/>
      <c r="K1" s="651"/>
      <c r="L1" s="651"/>
      <c r="M1" s="651"/>
      <c r="N1" s="651"/>
      <c r="O1" s="651"/>
      <c r="P1" s="651"/>
      <c r="Q1" s="651"/>
      <c r="R1" s="51"/>
    </row>
    <row r="2" spans="1:18" s="53" customFormat="1" ht="36" customHeight="1" x14ac:dyDescent="0.3">
      <c r="A2" s="82" t="s">
        <v>2</v>
      </c>
      <c r="B2" s="83" t="str">
        <f>Basisdaten!B5</f>
        <v>Gemeinde Oberhaching</v>
      </c>
      <c r="C2" s="83"/>
      <c r="D2" s="85"/>
      <c r="I2" s="86" t="s">
        <v>3</v>
      </c>
      <c r="J2" s="654">
        <f>Basisdaten!E5</f>
        <v>0</v>
      </c>
      <c r="K2" s="654"/>
      <c r="L2" s="654"/>
      <c r="M2" s="654"/>
      <c r="N2" s="654"/>
      <c r="O2" s="654"/>
      <c r="P2" s="86" t="s">
        <v>1</v>
      </c>
      <c r="Q2" s="327">
        <f>Basisdaten!E3</f>
        <v>0</v>
      </c>
    </row>
    <row r="3" spans="1:18" s="53" customFormat="1" ht="27" customHeight="1" x14ac:dyDescent="0.3">
      <c r="A3" s="85" t="s">
        <v>4</v>
      </c>
      <c r="B3" s="83" t="s">
        <v>833</v>
      </c>
      <c r="C3" s="83"/>
      <c r="F3" s="84"/>
      <c r="G3" s="84"/>
      <c r="N3" s="410" t="s">
        <v>358</v>
      </c>
      <c r="O3" s="411">
        <f>'SVS GR'!F77</f>
        <v>0</v>
      </c>
      <c r="P3" s="92"/>
      <c r="Q3" s="93"/>
    </row>
    <row r="4" spans="1:18" s="53" customFormat="1" ht="15" customHeight="1" x14ac:dyDescent="0.3">
      <c r="N4" s="90"/>
      <c r="O4" s="91"/>
      <c r="P4" s="92"/>
      <c r="Q4" s="93"/>
    </row>
    <row r="5" spans="1:18" s="146" customFormat="1" ht="29.25" customHeight="1" x14ac:dyDescent="0.3">
      <c r="A5" s="236"/>
      <c r="B5" s="236"/>
      <c r="C5" s="236"/>
      <c r="D5" s="236"/>
      <c r="E5" s="236"/>
      <c r="F5" s="233"/>
      <c r="G5" s="233" t="s">
        <v>945</v>
      </c>
      <c r="H5" s="147">
        <f>SUBTOTAL(9,H8:H76)</f>
        <v>1162.0099999999993</v>
      </c>
      <c r="I5" s="148"/>
      <c r="J5" s="148"/>
      <c r="K5" s="147">
        <f>SUBTOTAL(9,K8:K76)</f>
        <v>584.32999999999981</v>
      </c>
      <c r="L5" s="149">
        <f>IF(ISERROR(K5/N5),0,(K5/N5))</f>
        <v>0</v>
      </c>
      <c r="M5" s="597">
        <f>SUBTOTAL(9,M8:M76)</f>
        <v>0</v>
      </c>
      <c r="N5" s="597">
        <f>SUBTOTAL(9,N8:N76)</f>
        <v>0</v>
      </c>
      <c r="O5" s="236"/>
      <c r="P5" s="150">
        <f>SUBTOTAL(9,P8:P76)</f>
        <v>0</v>
      </c>
      <c r="Q5" s="150">
        <f>SUBTOTAL(9,Q8:Q76)</f>
        <v>0</v>
      </c>
    </row>
    <row r="6" spans="1:18" s="146" customFormat="1" ht="26.25" customHeight="1" x14ac:dyDescent="0.3">
      <c r="A6" s="301"/>
      <c r="B6" s="301"/>
      <c r="C6" s="301"/>
      <c r="D6" s="301"/>
      <c r="E6" s="301"/>
      <c r="F6" s="235"/>
      <c r="G6" s="235" t="s">
        <v>243</v>
      </c>
      <c r="H6" s="151">
        <f>SUM(H$8:H$76)</f>
        <v>1162.0099999999993</v>
      </c>
      <c r="I6" s="154"/>
      <c r="J6" s="154"/>
      <c r="K6" s="151">
        <f>SUM(K$8:K$76)</f>
        <v>584.32999999999981</v>
      </c>
      <c r="L6" s="152">
        <f>IF(ISERROR(K6/N6),0,(K6/N6))</f>
        <v>0</v>
      </c>
      <c r="M6" s="598">
        <f>SUM(M$8:M$76)</f>
        <v>0</v>
      </c>
      <c r="N6" s="598">
        <f>SUM(N$8:N$76)</f>
        <v>0</v>
      </c>
      <c r="O6" s="301"/>
      <c r="P6" s="153">
        <f>SUM(P$8:P$76)</f>
        <v>0</v>
      </c>
      <c r="Q6" s="153">
        <f>SUM(Q$8:Q$76)</f>
        <v>0</v>
      </c>
    </row>
    <row r="7" spans="1:18" s="56" customFormat="1" ht="41.25" customHeight="1" x14ac:dyDescent="0.3">
      <c r="A7" s="54" t="s">
        <v>272</v>
      </c>
      <c r="B7" s="54" t="s">
        <v>250</v>
      </c>
      <c r="C7" s="54" t="s">
        <v>101</v>
      </c>
      <c r="D7" s="54" t="s">
        <v>103</v>
      </c>
      <c r="E7" s="54" t="s">
        <v>163</v>
      </c>
      <c r="F7" s="54" t="s">
        <v>839</v>
      </c>
      <c r="G7" s="54" t="s">
        <v>840</v>
      </c>
      <c r="H7" s="55" t="s">
        <v>100</v>
      </c>
      <c r="I7" s="55" t="s">
        <v>59</v>
      </c>
      <c r="J7" s="55" t="s">
        <v>75</v>
      </c>
      <c r="K7" s="55" t="s">
        <v>76</v>
      </c>
      <c r="L7" s="94" t="s">
        <v>77</v>
      </c>
      <c r="M7" s="95" t="s">
        <v>856</v>
      </c>
      <c r="N7" s="95" t="s">
        <v>78</v>
      </c>
      <c r="O7" s="96" t="s">
        <v>79</v>
      </c>
      <c r="P7" s="96" t="s">
        <v>80</v>
      </c>
      <c r="Q7" s="96" t="s">
        <v>81</v>
      </c>
    </row>
    <row r="8" spans="1:18" s="57" customFormat="1" ht="24.9" customHeight="1" x14ac:dyDescent="0.25">
      <c r="A8" s="302" t="str">
        <f>'Kalk UHR KiGa Am Rain'!A8</f>
        <v>Kindergarten</v>
      </c>
      <c r="B8" s="302" t="str">
        <f>'Kalk UHR KiGa Am Rain'!B8</f>
        <v>KG</v>
      </c>
      <c r="C8" s="302" t="str">
        <f>IF('Kalk UHR KiGa Am Rain'!C8="","",'Kalk UHR KiGa Am Rain'!C8)</f>
        <v/>
      </c>
      <c r="D8" s="302" t="str">
        <f>'Kalk UHR KiGa Am Rain'!D8</f>
        <v>Treppenhaus zum EG</v>
      </c>
      <c r="E8" s="302" t="str">
        <f>'Kalk UHR KiGa Am Rain'!E8</f>
        <v>Steinzeug/Fliesen</v>
      </c>
      <c r="F8" s="228" t="str">
        <f>'Kalk UHR KiGa Am Rain'!F8</f>
        <v>F3-W5</v>
      </c>
      <c r="G8" s="228" t="str">
        <f t="shared" ref="G8:G71" si="0">CONCATENATE((LEFT(F8,2)),"-",I8)</f>
        <v>F3-J0,5</v>
      </c>
      <c r="H8" s="127">
        <f>'Kalk UHR KiGa Am Rain'!G8</f>
        <v>16</v>
      </c>
      <c r="I8" s="97" t="s">
        <v>909</v>
      </c>
      <c r="J8" s="328">
        <f>VLOOKUP(I8,Turnus!$H$9:$I$26,2,FALSE)</f>
        <v>0.5</v>
      </c>
      <c r="K8" s="127">
        <f t="shared" ref="K8:K76" si="1">+H8*J8</f>
        <v>8</v>
      </c>
      <c r="L8" s="128">
        <f>VLOOKUP($G8,'Leistungswerte GR Kigas'!$C$6:$F$53,4,FALSE)</f>
        <v>0</v>
      </c>
      <c r="M8" s="129">
        <f>IF(ISERROR(H8/L8),0,H8/L8)</f>
        <v>0</v>
      </c>
      <c r="N8" s="129">
        <f t="shared" ref="N8:N76" si="2">IF(ISERROR(K8/L8),0,K8/L8)</f>
        <v>0</v>
      </c>
      <c r="O8" s="547">
        <f>O$3</f>
        <v>0</v>
      </c>
      <c r="P8" s="130">
        <f t="shared" ref="P8:P76" si="3">IF(ISERROR(H8/L8*O8),0,H8/L8*O8)</f>
        <v>0</v>
      </c>
      <c r="Q8" s="131">
        <f t="shared" ref="Q8:Q76" si="4">+N8*O8</f>
        <v>0</v>
      </c>
      <c r="R8" s="56"/>
    </row>
    <row r="9" spans="1:18" s="57" customFormat="1" ht="24.9" customHeight="1" x14ac:dyDescent="0.25">
      <c r="A9" s="302" t="str">
        <f>'Kalk UHR KiGa Am Rain'!A9</f>
        <v>Kindergarten</v>
      </c>
      <c r="B9" s="302" t="str">
        <f>'Kalk UHR KiGa Am Rain'!B9</f>
        <v>KG</v>
      </c>
      <c r="C9" s="302" t="str">
        <f>IF('Kalk UHR KiGa Am Rain'!C9="","",'Kalk UHR KiGa Am Rain'!C9)</f>
        <v/>
      </c>
      <c r="D9" s="302" t="str">
        <f>'Kalk UHR KiGa Am Rain'!D9</f>
        <v>Treppenhaus Vorplatz</v>
      </c>
      <c r="E9" s="302" t="str">
        <f>'Kalk UHR KiGa Am Rain'!E9</f>
        <v>Steinzeug/Fliesen</v>
      </c>
      <c r="F9" s="228" t="str">
        <f>'Kalk UHR KiGa Am Rain'!F9</f>
        <v>F1-W5</v>
      </c>
      <c r="G9" s="228" t="str">
        <f t="shared" si="0"/>
        <v>F1-J0,5</v>
      </c>
      <c r="H9" s="127">
        <f>'Kalk UHR KiGa Am Rain'!G9</f>
        <v>9.5299999999999994</v>
      </c>
      <c r="I9" s="97" t="s">
        <v>909</v>
      </c>
      <c r="J9" s="328">
        <f>VLOOKUP(I9,Turnus!$H$9:$I$26,2,FALSE)</f>
        <v>0.5</v>
      </c>
      <c r="K9" s="127">
        <f t="shared" si="1"/>
        <v>4.7649999999999997</v>
      </c>
      <c r="L9" s="128">
        <f>VLOOKUP($G9,'Leistungswerte GR Kigas'!$C$6:$F$53,4,FALSE)</f>
        <v>0</v>
      </c>
      <c r="M9" s="129">
        <f t="shared" ref="M9:M72" si="5">IF(ISERROR(H9/L9),0,H9/L9)</f>
        <v>0</v>
      </c>
      <c r="N9" s="129">
        <f t="shared" si="2"/>
        <v>0</v>
      </c>
      <c r="O9" s="547">
        <f t="shared" ref="O9:O76" si="6">O$3</f>
        <v>0</v>
      </c>
      <c r="P9" s="130">
        <f t="shared" si="3"/>
        <v>0</v>
      </c>
      <c r="Q9" s="131">
        <f t="shared" si="4"/>
        <v>0</v>
      </c>
      <c r="R9" s="56"/>
    </row>
    <row r="10" spans="1:18" s="57" customFormat="1" ht="24.9" customHeight="1" x14ac:dyDescent="0.25">
      <c r="A10" s="302" t="str">
        <f>'Kalk UHR KiGa Am Rain'!A10</f>
        <v>Kindergarten</v>
      </c>
      <c r="B10" s="302" t="str">
        <f>'Kalk UHR KiGa Am Rain'!B10</f>
        <v>KG</v>
      </c>
      <c r="C10" s="302" t="str">
        <f>IF('Kalk UHR KiGa Am Rain'!C10="","",'Kalk UHR KiGa Am Rain'!C10)</f>
        <v/>
      </c>
      <c r="D10" s="302" t="str">
        <f>'Kalk UHR KiGa Am Rain'!D10</f>
        <v>Bunker (Pellets)</v>
      </c>
      <c r="E10" s="302" t="str">
        <f>'Kalk UHR KiGa Am Rain'!E10</f>
        <v>Steinzeug/Fliesen</v>
      </c>
      <c r="F10" s="228" t="str">
        <f>'Kalk UHR KiGa Am Rain'!F10</f>
        <v>L3-J1</v>
      </c>
      <c r="G10" s="414" t="str">
        <f t="shared" si="0"/>
        <v>L3-kR</v>
      </c>
      <c r="H10" s="127">
        <f>'Kalk UHR KiGa Am Rain'!G10</f>
        <v>22.52</v>
      </c>
      <c r="I10" s="97" t="s">
        <v>68</v>
      </c>
      <c r="J10" s="328">
        <f>VLOOKUP(I10,Turnus!$H$9:$I$26,2,FALSE)</f>
        <v>0</v>
      </c>
      <c r="K10" s="127">
        <f t="shared" si="1"/>
        <v>0</v>
      </c>
      <c r="L10" s="128">
        <f>VLOOKUP($G10,'Leistungswerte GR Kigas'!$C$6:$F$53,4,FALSE)</f>
        <v>0</v>
      </c>
      <c r="M10" s="129">
        <f t="shared" si="5"/>
        <v>0</v>
      </c>
      <c r="N10" s="129">
        <f t="shared" si="2"/>
        <v>0</v>
      </c>
      <c r="O10" s="547">
        <f t="shared" si="6"/>
        <v>0</v>
      </c>
      <c r="P10" s="130">
        <f t="shared" si="3"/>
        <v>0</v>
      </c>
      <c r="Q10" s="131">
        <f t="shared" si="4"/>
        <v>0</v>
      </c>
    </row>
    <row r="11" spans="1:18" s="57" customFormat="1" ht="24.9" customHeight="1" x14ac:dyDescent="0.25">
      <c r="A11" s="302" t="str">
        <f>'Kalk UHR KiGa Am Rain'!A11</f>
        <v>Kindergarten</v>
      </c>
      <c r="B11" s="302" t="str">
        <f>'Kalk UHR KiGa Am Rain'!B11</f>
        <v>KG</v>
      </c>
      <c r="C11" s="302" t="str">
        <f>IF('Kalk UHR KiGa Am Rain'!C11="","",'Kalk UHR KiGa Am Rain'!C11)</f>
        <v/>
      </c>
      <c r="D11" s="302" t="str">
        <f>'Kalk UHR KiGa Am Rain'!D11</f>
        <v>Heizung</v>
      </c>
      <c r="E11" s="302" t="str">
        <f>'Kalk UHR KiGa Am Rain'!E11</f>
        <v>Steinzeug/Fliesen</v>
      </c>
      <c r="F11" s="228" t="str">
        <f>'Kalk UHR KiGa Am Rain'!F11</f>
        <v>L3-J1</v>
      </c>
      <c r="G11" s="414" t="str">
        <f t="shared" si="0"/>
        <v>L3-kR</v>
      </c>
      <c r="H11" s="127">
        <f>'Kalk UHR KiGa Am Rain'!G11</f>
        <v>20.81</v>
      </c>
      <c r="I11" s="97" t="s">
        <v>68</v>
      </c>
      <c r="J11" s="328">
        <f>VLOOKUP(I11,Turnus!$H$9:$I$26,2,FALSE)</f>
        <v>0</v>
      </c>
      <c r="K11" s="127">
        <f t="shared" si="1"/>
        <v>0</v>
      </c>
      <c r="L11" s="128">
        <f>VLOOKUP($G11,'Leistungswerte GR Kigas'!$C$6:$F$53,4,FALSE)</f>
        <v>0</v>
      </c>
      <c r="M11" s="129">
        <f t="shared" si="5"/>
        <v>0</v>
      </c>
      <c r="N11" s="129">
        <f t="shared" si="2"/>
        <v>0</v>
      </c>
      <c r="O11" s="547">
        <f t="shared" si="6"/>
        <v>0</v>
      </c>
      <c r="P11" s="130">
        <f t="shared" si="3"/>
        <v>0</v>
      </c>
      <c r="Q11" s="131">
        <f t="shared" si="4"/>
        <v>0</v>
      </c>
    </row>
    <row r="12" spans="1:18" s="57" customFormat="1" ht="24.9" customHeight="1" x14ac:dyDescent="0.25">
      <c r="A12" s="302" t="str">
        <f>'Kalk UHR KiGa Am Rain'!A12</f>
        <v>Kindergarten</v>
      </c>
      <c r="B12" s="302" t="str">
        <f>'Kalk UHR KiGa Am Rain'!B12</f>
        <v>KG</v>
      </c>
      <c r="C12" s="302" t="str">
        <f>IF('Kalk UHR KiGa Am Rain'!C12="","",'Kalk UHR KiGa Am Rain'!C12)</f>
        <v/>
      </c>
      <c r="D12" s="302" t="str">
        <f>'Kalk UHR KiGa Am Rain'!D12</f>
        <v>Zähler</v>
      </c>
      <c r="E12" s="302" t="str">
        <f>'Kalk UHR KiGa Am Rain'!E12</f>
        <v>Steinzeug/Fliesen</v>
      </c>
      <c r="F12" s="228" t="str">
        <f>'Kalk UHR KiGa Am Rain'!F12</f>
        <v>L3-J1</v>
      </c>
      <c r="G12" s="414" t="str">
        <f t="shared" si="0"/>
        <v>L3-kR</v>
      </c>
      <c r="H12" s="127">
        <f>'Kalk UHR KiGa Am Rain'!G12</f>
        <v>5.55</v>
      </c>
      <c r="I12" s="97" t="s">
        <v>68</v>
      </c>
      <c r="J12" s="328">
        <f>VLOOKUP(I12,Turnus!$H$9:$I$26,2,FALSE)</f>
        <v>0</v>
      </c>
      <c r="K12" s="127">
        <f t="shared" si="1"/>
        <v>0</v>
      </c>
      <c r="L12" s="128">
        <f>VLOOKUP($G12,'Leistungswerte GR Kigas'!$C$6:$F$53,4,FALSE)</f>
        <v>0</v>
      </c>
      <c r="M12" s="129">
        <f t="shared" si="5"/>
        <v>0</v>
      </c>
      <c r="N12" s="129">
        <f t="shared" si="2"/>
        <v>0</v>
      </c>
      <c r="O12" s="547">
        <f t="shared" si="6"/>
        <v>0</v>
      </c>
      <c r="P12" s="130">
        <f t="shared" si="3"/>
        <v>0</v>
      </c>
      <c r="Q12" s="131">
        <f t="shared" si="4"/>
        <v>0</v>
      </c>
    </row>
    <row r="13" spans="1:18" s="57" customFormat="1" ht="24.9" customHeight="1" x14ac:dyDescent="0.25">
      <c r="A13" s="302" t="str">
        <f>'Kalk UHR KiGa Am Rain'!A13</f>
        <v>Kindergarten</v>
      </c>
      <c r="B13" s="302" t="str">
        <f>'Kalk UHR KiGa Am Rain'!B13</f>
        <v>KG</v>
      </c>
      <c r="C13" s="302" t="str">
        <f>IF('Kalk UHR KiGa Am Rain'!C13="","",'Kalk UHR KiGa Am Rain'!C13)</f>
        <v/>
      </c>
      <c r="D13" s="302" t="str">
        <f>'Kalk UHR KiGa Am Rain'!D13</f>
        <v>Stromanschluss</v>
      </c>
      <c r="E13" s="302" t="str">
        <f>'Kalk UHR KiGa Am Rain'!E13</f>
        <v>Steinzeug/Fliesen</v>
      </c>
      <c r="F13" s="228" t="str">
        <f>'Kalk UHR KiGa Am Rain'!F13</f>
        <v>L3-J1</v>
      </c>
      <c r="G13" s="414" t="str">
        <f t="shared" si="0"/>
        <v>L3-kR</v>
      </c>
      <c r="H13" s="127">
        <f>'Kalk UHR KiGa Am Rain'!G13</f>
        <v>9.08</v>
      </c>
      <c r="I13" s="97" t="s">
        <v>68</v>
      </c>
      <c r="J13" s="328">
        <f>VLOOKUP(I13,Turnus!$H$9:$I$26,2,FALSE)</f>
        <v>0</v>
      </c>
      <c r="K13" s="127">
        <f t="shared" si="1"/>
        <v>0</v>
      </c>
      <c r="L13" s="128">
        <f>VLOOKUP($G13,'Leistungswerte GR Kigas'!$C$6:$F$53,4,FALSE)</f>
        <v>0</v>
      </c>
      <c r="M13" s="129">
        <f t="shared" si="5"/>
        <v>0</v>
      </c>
      <c r="N13" s="129">
        <f t="shared" si="2"/>
        <v>0</v>
      </c>
      <c r="O13" s="547">
        <f t="shared" si="6"/>
        <v>0</v>
      </c>
      <c r="P13" s="130">
        <f t="shared" si="3"/>
        <v>0</v>
      </c>
      <c r="Q13" s="131">
        <f t="shared" si="4"/>
        <v>0</v>
      </c>
    </row>
    <row r="14" spans="1:18" s="57" customFormat="1" ht="24.9" customHeight="1" x14ac:dyDescent="0.25">
      <c r="A14" s="302" t="str">
        <f>'Kalk UHR KiGa Am Rain'!A14</f>
        <v>Kindergarten</v>
      </c>
      <c r="B14" s="302" t="str">
        <f>'Kalk UHR KiGa Am Rain'!B14</f>
        <v>KG</v>
      </c>
      <c r="C14" s="302" t="str">
        <f>IF('Kalk UHR KiGa Am Rain'!C14="","",'Kalk UHR KiGa Am Rain'!C14)</f>
        <v/>
      </c>
      <c r="D14" s="302" t="str">
        <f>'Kalk UHR KiGa Am Rain'!D14</f>
        <v>Lager</v>
      </c>
      <c r="E14" s="302" t="str">
        <f>'Kalk UHR KiGa Am Rain'!E14</f>
        <v>Beton</v>
      </c>
      <c r="F14" s="228" t="str">
        <f>'Kalk UHR KiGa Am Rain'!F14</f>
        <v>L1-M1</v>
      </c>
      <c r="G14" s="414" t="str">
        <f t="shared" si="0"/>
        <v>L1-kR</v>
      </c>
      <c r="H14" s="127">
        <f>'Kalk UHR KiGa Am Rain'!G14</f>
        <v>19.32</v>
      </c>
      <c r="I14" s="97" t="s">
        <v>68</v>
      </c>
      <c r="J14" s="328">
        <f>VLOOKUP(I14,Turnus!$H$9:$I$26,2,FALSE)</f>
        <v>0</v>
      </c>
      <c r="K14" s="127">
        <f t="shared" si="1"/>
        <v>0</v>
      </c>
      <c r="L14" s="128">
        <f>VLOOKUP($G14,'Leistungswerte GR Kigas'!$C$6:$F$53,4,FALSE)</f>
        <v>0</v>
      </c>
      <c r="M14" s="129">
        <f t="shared" si="5"/>
        <v>0</v>
      </c>
      <c r="N14" s="129">
        <f t="shared" si="2"/>
        <v>0</v>
      </c>
      <c r="O14" s="547">
        <f t="shared" si="6"/>
        <v>0</v>
      </c>
      <c r="P14" s="130">
        <f t="shared" si="3"/>
        <v>0</v>
      </c>
      <c r="Q14" s="131">
        <f t="shared" si="4"/>
        <v>0</v>
      </c>
    </row>
    <row r="15" spans="1:18" s="57" customFormat="1" ht="24.9" customHeight="1" x14ac:dyDescent="0.25">
      <c r="A15" s="302" t="str">
        <f>'Kalk UHR KiGa Am Rain'!A15</f>
        <v>Kindergarten</v>
      </c>
      <c r="B15" s="302" t="str">
        <f>'Kalk UHR KiGa Am Rain'!B15</f>
        <v>KG</v>
      </c>
      <c r="C15" s="302" t="str">
        <f>IF('Kalk UHR KiGa Am Rain'!C15="","",'Kalk UHR KiGa Am Rain'!C15)</f>
        <v/>
      </c>
      <c r="D15" s="302" t="str">
        <f>'Kalk UHR KiGa Am Rain'!D15</f>
        <v>Flur</v>
      </c>
      <c r="E15" s="302" t="str">
        <f>'Kalk UHR KiGa Am Rain'!E15</f>
        <v>Steinzeug/Fliesen</v>
      </c>
      <c r="F15" s="228" t="str">
        <f>'Kalk UHR KiGa Am Rain'!F15</f>
        <v>F1-W5</v>
      </c>
      <c r="G15" s="228" t="str">
        <f t="shared" si="0"/>
        <v>F1-J0,5</v>
      </c>
      <c r="H15" s="127">
        <f>'Kalk UHR KiGa Am Rain'!G15</f>
        <v>24.66</v>
      </c>
      <c r="I15" s="97" t="s">
        <v>909</v>
      </c>
      <c r="J15" s="328">
        <f>VLOOKUP(I15,Turnus!$H$9:$I$26,2,FALSE)</f>
        <v>0.5</v>
      </c>
      <c r="K15" s="127">
        <f t="shared" si="1"/>
        <v>12.33</v>
      </c>
      <c r="L15" s="128">
        <f>VLOOKUP($G15,'Leistungswerte GR Kigas'!$C$6:$F$53,4,FALSE)</f>
        <v>0</v>
      </c>
      <c r="M15" s="129">
        <f t="shared" si="5"/>
        <v>0</v>
      </c>
      <c r="N15" s="129">
        <f t="shared" si="2"/>
        <v>0</v>
      </c>
      <c r="O15" s="547">
        <f t="shared" si="6"/>
        <v>0</v>
      </c>
      <c r="P15" s="130">
        <f t="shared" si="3"/>
        <v>0</v>
      </c>
      <c r="Q15" s="131">
        <f t="shared" si="4"/>
        <v>0</v>
      </c>
      <c r="R15" s="56"/>
    </row>
    <row r="16" spans="1:18" s="57" customFormat="1" ht="24.9" customHeight="1" x14ac:dyDescent="0.25">
      <c r="A16" s="302" t="str">
        <f>'Kalk UHR KiGa Am Rain'!A16</f>
        <v>Kindergarten</v>
      </c>
      <c r="B16" s="302" t="str">
        <f>'Kalk UHR KiGa Am Rain'!B16</f>
        <v>KG</v>
      </c>
      <c r="C16" s="302" t="str">
        <f>IF('Kalk UHR KiGa Am Rain'!C16="","",'Kalk UHR KiGa Am Rain'!C16)</f>
        <v/>
      </c>
      <c r="D16" s="302" t="str">
        <f>'Kalk UHR KiGa Am Rain'!D16</f>
        <v>Reserveraum</v>
      </c>
      <c r="E16" s="302" t="str">
        <f>'Kalk UHR KiGa Am Rain'!E16</f>
        <v>Lino</v>
      </c>
      <c r="F16" s="228" t="str">
        <f>'Kalk UHR KiGa Am Rain'!F16</f>
        <v>U3-W5</v>
      </c>
      <c r="G16" s="228" t="str">
        <f t="shared" si="0"/>
        <v>U3-J0,5</v>
      </c>
      <c r="H16" s="127">
        <f>'Kalk UHR KiGa Am Rain'!G16</f>
        <v>35.21</v>
      </c>
      <c r="I16" s="97" t="s">
        <v>909</v>
      </c>
      <c r="J16" s="328">
        <f>VLOOKUP(I16,Turnus!$H$9:$I$26,2,FALSE)</f>
        <v>0.5</v>
      </c>
      <c r="K16" s="127">
        <f t="shared" si="1"/>
        <v>17.605</v>
      </c>
      <c r="L16" s="128">
        <f>VLOOKUP($G16,'Leistungswerte GR Kigas'!$C$6:$F$53,4,FALSE)</f>
        <v>0</v>
      </c>
      <c r="M16" s="129">
        <f t="shared" si="5"/>
        <v>0</v>
      </c>
      <c r="N16" s="129">
        <f t="shared" si="2"/>
        <v>0</v>
      </c>
      <c r="O16" s="547">
        <f t="shared" si="6"/>
        <v>0</v>
      </c>
      <c r="P16" s="130">
        <f t="shared" si="3"/>
        <v>0</v>
      </c>
      <c r="Q16" s="131">
        <f t="shared" si="4"/>
        <v>0</v>
      </c>
      <c r="R16" s="56"/>
    </row>
    <row r="17" spans="1:18" s="57" customFormat="1" ht="24.9" customHeight="1" x14ac:dyDescent="0.25">
      <c r="A17" s="302" t="str">
        <f>'Kalk UHR KiGa Am Rain'!A17</f>
        <v>Kindergarten</v>
      </c>
      <c r="B17" s="302" t="str">
        <f>'Kalk UHR KiGa Am Rain'!B17</f>
        <v>KG</v>
      </c>
      <c r="C17" s="302" t="str">
        <f>IF('Kalk UHR KiGa Am Rain'!C17="","",'Kalk UHR KiGa Am Rain'!C17)</f>
        <v/>
      </c>
      <c r="D17" s="302" t="str">
        <f>'Kalk UHR KiGa Am Rain'!D17</f>
        <v>Abstellraum</v>
      </c>
      <c r="E17" s="302" t="str">
        <f>'Kalk UHR KiGa Am Rain'!E17</f>
        <v>Steinzeug/Fliesen</v>
      </c>
      <c r="F17" s="228" t="str">
        <f>'Kalk UHR KiGa Am Rain'!F17</f>
        <v>L1-W1</v>
      </c>
      <c r="G17" s="228" t="str">
        <f t="shared" si="0"/>
        <v>L1-J0,5</v>
      </c>
      <c r="H17" s="127">
        <f>'Kalk UHR KiGa Am Rain'!G17</f>
        <v>5.85</v>
      </c>
      <c r="I17" s="97" t="s">
        <v>909</v>
      </c>
      <c r="J17" s="328">
        <f>VLOOKUP(I17,Turnus!$H$9:$I$26,2,FALSE)</f>
        <v>0.5</v>
      </c>
      <c r="K17" s="127">
        <f t="shared" si="1"/>
        <v>2.9249999999999998</v>
      </c>
      <c r="L17" s="128">
        <f>VLOOKUP($G17,'Leistungswerte GR Kigas'!$C$6:$F$53,4,FALSE)</f>
        <v>0</v>
      </c>
      <c r="M17" s="129">
        <f t="shared" si="5"/>
        <v>0</v>
      </c>
      <c r="N17" s="129">
        <f t="shared" si="2"/>
        <v>0</v>
      </c>
      <c r="O17" s="547">
        <f t="shared" si="6"/>
        <v>0</v>
      </c>
      <c r="P17" s="130">
        <f t="shared" si="3"/>
        <v>0</v>
      </c>
      <c r="Q17" s="131">
        <f t="shared" si="4"/>
        <v>0</v>
      </c>
      <c r="R17" s="56"/>
    </row>
    <row r="18" spans="1:18" s="57" customFormat="1" ht="24.9" customHeight="1" x14ac:dyDescent="0.25">
      <c r="A18" s="302" t="str">
        <f>'Kalk UHR KiGa Am Rain'!A18</f>
        <v>Kindergarten</v>
      </c>
      <c r="B18" s="302" t="str">
        <f>'Kalk UHR KiGa Am Rain'!B18</f>
        <v>KG</v>
      </c>
      <c r="C18" s="302" t="str">
        <f>IF('Kalk UHR KiGa Am Rain'!C18="","",'Kalk UHR KiGa Am Rain'!C18)</f>
        <v/>
      </c>
      <c r="D18" s="302" t="str">
        <f>'Kalk UHR KiGa Am Rain'!D18</f>
        <v>Betreuung 1</v>
      </c>
      <c r="E18" s="302" t="str">
        <f>'Kalk UHR KiGa Am Rain'!E18</f>
        <v>Lino</v>
      </c>
      <c r="F18" s="228" t="str">
        <f>'Kalk UHR KiGa Am Rain'!F18</f>
        <v>G1-W5</v>
      </c>
      <c r="G18" s="228" t="str">
        <f t="shared" si="0"/>
        <v>G1-J0,5</v>
      </c>
      <c r="H18" s="127">
        <f>'Kalk UHR KiGa Am Rain'!G18</f>
        <v>35.549999999999997</v>
      </c>
      <c r="I18" s="97" t="s">
        <v>909</v>
      </c>
      <c r="J18" s="328">
        <f>VLOOKUP(I18,Turnus!$H$9:$I$26,2,FALSE)</f>
        <v>0.5</v>
      </c>
      <c r="K18" s="127">
        <f t="shared" si="1"/>
        <v>17.774999999999999</v>
      </c>
      <c r="L18" s="128">
        <f>VLOOKUP($G18,'Leistungswerte GR Kigas'!$C$6:$F$53,4,FALSE)</f>
        <v>0</v>
      </c>
      <c r="M18" s="129">
        <f t="shared" si="5"/>
        <v>0</v>
      </c>
      <c r="N18" s="129">
        <f t="shared" si="2"/>
        <v>0</v>
      </c>
      <c r="O18" s="547">
        <f t="shared" si="6"/>
        <v>0</v>
      </c>
      <c r="P18" s="130">
        <f t="shared" si="3"/>
        <v>0</v>
      </c>
      <c r="Q18" s="131">
        <f t="shared" si="4"/>
        <v>0</v>
      </c>
      <c r="R18" s="56"/>
    </row>
    <row r="19" spans="1:18" s="57" customFormat="1" ht="24.9" customHeight="1" x14ac:dyDescent="0.25">
      <c r="A19" s="302" t="str">
        <f>'Kalk UHR KiGa Am Rain'!A19</f>
        <v>Kindergarten</v>
      </c>
      <c r="B19" s="302" t="str">
        <f>'Kalk UHR KiGa Am Rain'!B19</f>
        <v>KG</v>
      </c>
      <c r="C19" s="302" t="str">
        <f>IF('Kalk UHR KiGa Am Rain'!C19="","",'Kalk UHR KiGa Am Rain'!C19)</f>
        <v/>
      </c>
      <c r="D19" s="302" t="str">
        <f>'Kalk UHR KiGa Am Rain'!D19</f>
        <v>Betreuung 2</v>
      </c>
      <c r="E19" s="302" t="str">
        <f>'Kalk UHR KiGa Am Rain'!E19</f>
        <v>Lino</v>
      </c>
      <c r="F19" s="228" t="str">
        <f>'Kalk UHR KiGa Am Rain'!F19</f>
        <v>G1-W5</v>
      </c>
      <c r="G19" s="228" t="str">
        <f t="shared" si="0"/>
        <v>G1-J0,5</v>
      </c>
      <c r="H19" s="127">
        <f>'Kalk UHR KiGa Am Rain'!G19</f>
        <v>22.28</v>
      </c>
      <c r="I19" s="97" t="s">
        <v>909</v>
      </c>
      <c r="J19" s="328">
        <f>VLOOKUP(I19,Turnus!$H$9:$I$26,2,FALSE)</f>
        <v>0.5</v>
      </c>
      <c r="K19" s="127">
        <f t="shared" si="1"/>
        <v>11.14</v>
      </c>
      <c r="L19" s="128">
        <f>VLOOKUP($G19,'Leistungswerte GR Kigas'!$C$6:$F$53,4,FALSE)</f>
        <v>0</v>
      </c>
      <c r="M19" s="129">
        <f t="shared" si="5"/>
        <v>0</v>
      </c>
      <c r="N19" s="129">
        <f t="shared" si="2"/>
        <v>0</v>
      </c>
      <c r="O19" s="547">
        <f t="shared" si="6"/>
        <v>0</v>
      </c>
      <c r="P19" s="130">
        <f t="shared" si="3"/>
        <v>0</v>
      </c>
      <c r="Q19" s="131">
        <f t="shared" si="4"/>
        <v>0</v>
      </c>
      <c r="R19" s="56"/>
    </row>
    <row r="20" spans="1:18" s="57" customFormat="1" ht="24.9" customHeight="1" x14ac:dyDescent="0.25">
      <c r="A20" s="302" t="str">
        <f>'Kalk UHR KiGa Am Rain'!A20</f>
        <v>Kindergarten</v>
      </c>
      <c r="B20" s="302" t="str">
        <f>'Kalk UHR KiGa Am Rain'!B20</f>
        <v>KG</v>
      </c>
      <c r="C20" s="302" t="str">
        <f>IF('Kalk UHR KiGa Am Rain'!C20="","",'Kalk UHR KiGa Am Rain'!C20)</f>
        <v/>
      </c>
      <c r="D20" s="302" t="str">
        <f>'Kalk UHR KiGa Am Rain'!D20</f>
        <v>Krabbelgruppe 2</v>
      </c>
      <c r="E20" s="302" t="str">
        <f>'Kalk UHR KiGa Am Rain'!E20</f>
        <v>Lino</v>
      </c>
      <c r="F20" s="228" t="str">
        <f>'Kalk UHR KiGa Am Rain'!F20</f>
        <v>G1-W5</v>
      </c>
      <c r="G20" s="228" t="str">
        <f t="shared" si="0"/>
        <v>G1-J0,5</v>
      </c>
      <c r="H20" s="127">
        <f>'Kalk UHR KiGa Am Rain'!G20</f>
        <v>30.62</v>
      </c>
      <c r="I20" s="97" t="s">
        <v>909</v>
      </c>
      <c r="J20" s="328">
        <f>VLOOKUP(I20,Turnus!$H$9:$I$26,2,FALSE)</f>
        <v>0.5</v>
      </c>
      <c r="K20" s="127">
        <f t="shared" si="1"/>
        <v>15.31</v>
      </c>
      <c r="L20" s="128">
        <f>VLOOKUP($G20,'Leistungswerte GR Kigas'!$C$6:$F$53,4,FALSE)</f>
        <v>0</v>
      </c>
      <c r="M20" s="129">
        <f t="shared" si="5"/>
        <v>0</v>
      </c>
      <c r="N20" s="129">
        <f t="shared" si="2"/>
        <v>0</v>
      </c>
      <c r="O20" s="547">
        <f t="shared" si="6"/>
        <v>0</v>
      </c>
      <c r="P20" s="130">
        <f t="shared" si="3"/>
        <v>0</v>
      </c>
      <c r="Q20" s="131">
        <f t="shared" si="4"/>
        <v>0</v>
      </c>
      <c r="R20" s="56"/>
    </row>
    <row r="21" spans="1:18" s="57" customFormat="1" ht="24.9" customHeight="1" x14ac:dyDescent="0.25">
      <c r="A21" s="302" t="str">
        <f>'Kalk UHR KiGa Am Rain'!A21</f>
        <v>Kindergarten</v>
      </c>
      <c r="B21" s="302" t="str">
        <f>'Kalk UHR KiGa Am Rain'!B21</f>
        <v>KG</v>
      </c>
      <c r="C21" s="302" t="str">
        <f>IF('Kalk UHR KiGa Am Rain'!C21="","",'Kalk UHR KiGa Am Rain'!C21)</f>
        <v/>
      </c>
      <c r="D21" s="302" t="str">
        <f>'Kalk UHR KiGa Am Rain'!D21</f>
        <v>Spielhaus</v>
      </c>
      <c r="E21" s="302" t="str">
        <f>'Kalk UHR KiGa Am Rain'!E21</f>
        <v>Lino</v>
      </c>
      <c r="F21" s="228" t="str">
        <f>'Kalk UHR KiGa Am Rain'!F21</f>
        <v>G1-W5</v>
      </c>
      <c r="G21" s="228" t="str">
        <f t="shared" si="0"/>
        <v>G1-J0,5</v>
      </c>
      <c r="H21" s="127">
        <f>'Kalk UHR KiGa Am Rain'!G21</f>
        <v>5</v>
      </c>
      <c r="I21" s="97" t="s">
        <v>909</v>
      </c>
      <c r="J21" s="328">
        <f>VLOOKUP(I21,Turnus!$H$9:$I$26,2,FALSE)</f>
        <v>0.5</v>
      </c>
      <c r="K21" s="127">
        <f t="shared" si="1"/>
        <v>2.5</v>
      </c>
      <c r="L21" s="128">
        <f>VLOOKUP($G21,'Leistungswerte GR Kigas'!$C$6:$F$53,4,FALSE)</f>
        <v>0</v>
      </c>
      <c r="M21" s="129">
        <f t="shared" si="5"/>
        <v>0</v>
      </c>
      <c r="N21" s="129">
        <f t="shared" si="2"/>
        <v>0</v>
      </c>
      <c r="O21" s="547">
        <f t="shared" si="6"/>
        <v>0</v>
      </c>
      <c r="P21" s="130">
        <f t="shared" si="3"/>
        <v>0</v>
      </c>
      <c r="Q21" s="131">
        <f t="shared" si="4"/>
        <v>0</v>
      </c>
      <c r="R21" s="56"/>
    </row>
    <row r="22" spans="1:18" s="57" customFormat="1" ht="24.9" customHeight="1" x14ac:dyDescent="0.25">
      <c r="A22" s="302" t="str">
        <f>'Kalk UHR KiGa Am Rain'!A22</f>
        <v>Kindergarten</v>
      </c>
      <c r="B22" s="302" t="str">
        <f>'Kalk UHR KiGa Am Rain'!B22</f>
        <v>KG</v>
      </c>
      <c r="C22" s="302" t="str">
        <f>IF('Kalk UHR KiGa Am Rain'!C22="","",'Kalk UHR KiGa Am Rain'!C22)</f>
        <v/>
      </c>
      <c r="D22" s="302" t="str">
        <f>'Kalk UHR KiGa Am Rain'!D22</f>
        <v>Abstellraum</v>
      </c>
      <c r="E22" s="302" t="str">
        <f>'Kalk UHR KiGa Am Rain'!E22</f>
        <v>Lino</v>
      </c>
      <c r="F22" s="228" t="str">
        <f>'Kalk UHR KiGa Am Rain'!F22</f>
        <v>L1-W1</v>
      </c>
      <c r="G22" s="228" t="str">
        <f t="shared" si="0"/>
        <v>L1-J0,5</v>
      </c>
      <c r="H22" s="127">
        <f>'Kalk UHR KiGa Am Rain'!G22</f>
        <v>4.08</v>
      </c>
      <c r="I22" s="97" t="s">
        <v>909</v>
      </c>
      <c r="J22" s="328">
        <f>VLOOKUP(I22,Turnus!$H$9:$I$26,2,FALSE)</f>
        <v>0.5</v>
      </c>
      <c r="K22" s="127">
        <f t="shared" si="1"/>
        <v>2.04</v>
      </c>
      <c r="L22" s="128">
        <f>VLOOKUP($G22,'Leistungswerte GR Kigas'!$C$6:$F$53,4,FALSE)</f>
        <v>0</v>
      </c>
      <c r="M22" s="129">
        <f t="shared" si="5"/>
        <v>0</v>
      </c>
      <c r="N22" s="129">
        <f t="shared" si="2"/>
        <v>0</v>
      </c>
      <c r="O22" s="547">
        <f t="shared" si="6"/>
        <v>0</v>
      </c>
      <c r="P22" s="130">
        <f t="shared" si="3"/>
        <v>0</v>
      </c>
      <c r="Q22" s="131">
        <f t="shared" si="4"/>
        <v>0</v>
      </c>
      <c r="R22" s="56"/>
    </row>
    <row r="23" spans="1:18" s="57" customFormat="1" ht="24.9" customHeight="1" x14ac:dyDescent="0.25">
      <c r="A23" s="302" t="str">
        <f>'Kalk UHR KiGa Am Rain'!A23</f>
        <v>Kindergarten</v>
      </c>
      <c r="B23" s="302" t="str">
        <f>'Kalk UHR KiGa Am Rain'!B23</f>
        <v>KG</v>
      </c>
      <c r="C23" s="302" t="str">
        <f>IF('Kalk UHR KiGa Am Rain'!C23="","",'Kalk UHR KiGa Am Rain'!C23)</f>
        <v/>
      </c>
      <c r="D23" s="302" t="str">
        <f>'Kalk UHR KiGa Am Rain'!D23</f>
        <v>Flur</v>
      </c>
      <c r="E23" s="302" t="str">
        <f>'Kalk UHR KiGa Am Rain'!E23</f>
        <v>Steinzeug/Fliesen</v>
      </c>
      <c r="F23" s="228" t="str">
        <f>'Kalk UHR KiGa Am Rain'!F23</f>
        <v>F1-W5</v>
      </c>
      <c r="G23" s="228" t="str">
        <f t="shared" si="0"/>
        <v>F1-J0,5</v>
      </c>
      <c r="H23" s="127">
        <f>'Kalk UHR KiGa Am Rain'!G23</f>
        <v>10.01</v>
      </c>
      <c r="I23" s="97" t="s">
        <v>909</v>
      </c>
      <c r="J23" s="328">
        <f>VLOOKUP(I23,Turnus!$H$9:$I$26,2,FALSE)</f>
        <v>0.5</v>
      </c>
      <c r="K23" s="127">
        <f t="shared" si="1"/>
        <v>5.0049999999999999</v>
      </c>
      <c r="L23" s="128">
        <f>VLOOKUP($G23,'Leistungswerte GR Kigas'!$C$6:$F$53,4,FALSE)</f>
        <v>0</v>
      </c>
      <c r="M23" s="129">
        <f t="shared" si="5"/>
        <v>0</v>
      </c>
      <c r="N23" s="129">
        <f t="shared" si="2"/>
        <v>0</v>
      </c>
      <c r="O23" s="547">
        <f t="shared" si="6"/>
        <v>0</v>
      </c>
      <c r="P23" s="130">
        <f t="shared" si="3"/>
        <v>0</v>
      </c>
      <c r="Q23" s="131">
        <f t="shared" si="4"/>
        <v>0</v>
      </c>
      <c r="R23" s="56"/>
    </row>
    <row r="24" spans="1:18" s="57" customFormat="1" ht="24.9" customHeight="1" x14ac:dyDescent="0.25">
      <c r="A24" s="302" t="str">
        <f>'Kalk UHR KiGa Am Rain'!A24</f>
        <v>Kindergarten</v>
      </c>
      <c r="B24" s="302" t="str">
        <f>'Kalk UHR KiGa Am Rain'!B24</f>
        <v>KG</v>
      </c>
      <c r="C24" s="302" t="str">
        <f>IF('Kalk UHR KiGa Am Rain'!C24="","",'Kalk UHR KiGa Am Rain'!C24)</f>
        <v/>
      </c>
      <c r="D24" s="302" t="str">
        <f>'Kalk UHR KiGa Am Rain'!D24</f>
        <v>Krabbelgruppe 1</v>
      </c>
      <c r="E24" s="302" t="str">
        <f>'Kalk UHR KiGa Am Rain'!E24</f>
        <v>Lino</v>
      </c>
      <c r="F24" s="228" t="str">
        <f>'Kalk UHR KiGa Am Rain'!F24</f>
        <v>G1-W5</v>
      </c>
      <c r="G24" s="228" t="str">
        <f t="shared" si="0"/>
        <v>G1-J0,5</v>
      </c>
      <c r="H24" s="127">
        <f>'Kalk UHR KiGa Am Rain'!G24</f>
        <v>20.12</v>
      </c>
      <c r="I24" s="97" t="s">
        <v>909</v>
      </c>
      <c r="J24" s="328">
        <f>VLOOKUP(I24,Turnus!$H$9:$I$26,2,FALSE)</f>
        <v>0.5</v>
      </c>
      <c r="K24" s="127">
        <f t="shared" si="1"/>
        <v>10.06</v>
      </c>
      <c r="L24" s="128">
        <f>VLOOKUP($G24,'Leistungswerte GR Kigas'!$C$6:$F$53,4,FALSE)</f>
        <v>0</v>
      </c>
      <c r="M24" s="129">
        <f t="shared" si="5"/>
        <v>0</v>
      </c>
      <c r="N24" s="129">
        <f t="shared" si="2"/>
        <v>0</v>
      </c>
      <c r="O24" s="547">
        <f t="shared" si="6"/>
        <v>0</v>
      </c>
      <c r="P24" s="130">
        <f t="shared" si="3"/>
        <v>0</v>
      </c>
      <c r="Q24" s="131">
        <f t="shared" si="4"/>
        <v>0</v>
      </c>
      <c r="R24" s="56"/>
    </row>
    <row r="25" spans="1:18" s="57" customFormat="1" ht="24.9" customHeight="1" x14ac:dyDescent="0.25">
      <c r="A25" s="302" t="str">
        <f>'Kalk UHR KiGa Am Rain'!A25</f>
        <v>Kindergarten</v>
      </c>
      <c r="B25" s="302" t="str">
        <f>'Kalk UHR KiGa Am Rain'!B25</f>
        <v>KG</v>
      </c>
      <c r="C25" s="302" t="str">
        <f>IF('Kalk UHR KiGa Am Rain'!C25="","",'Kalk UHR KiGa Am Rain'!C25)</f>
        <v/>
      </c>
      <c r="D25" s="302" t="str">
        <f>'Kalk UHR KiGa Am Rain'!D25</f>
        <v>Garderobe</v>
      </c>
      <c r="E25" s="302" t="str">
        <f>'Kalk UHR KiGa Am Rain'!E25</f>
        <v>Steinzeug/Fliesen</v>
      </c>
      <c r="F25" s="228" t="str">
        <f>'Kalk UHR KiGa Am Rain'!F25</f>
        <v>H1-W5</v>
      </c>
      <c r="G25" s="228" t="str">
        <f t="shared" si="0"/>
        <v>H1-J0,5</v>
      </c>
      <c r="H25" s="127">
        <f>'Kalk UHR KiGa Am Rain'!G25</f>
        <v>8.6999999999999993</v>
      </c>
      <c r="I25" s="97" t="s">
        <v>909</v>
      </c>
      <c r="J25" s="328">
        <f>VLOOKUP(I25,Turnus!$H$9:$I$26,2,FALSE)</f>
        <v>0.5</v>
      </c>
      <c r="K25" s="127">
        <f t="shared" si="1"/>
        <v>4.3499999999999996</v>
      </c>
      <c r="L25" s="128">
        <f>VLOOKUP($G25,'Leistungswerte GR Kigas'!$C$6:$F$53,4,FALSE)</f>
        <v>0</v>
      </c>
      <c r="M25" s="129">
        <f t="shared" si="5"/>
        <v>0</v>
      </c>
      <c r="N25" s="129">
        <f t="shared" si="2"/>
        <v>0</v>
      </c>
      <c r="O25" s="547">
        <f t="shared" si="6"/>
        <v>0</v>
      </c>
      <c r="P25" s="130">
        <f t="shared" si="3"/>
        <v>0</v>
      </c>
      <c r="Q25" s="131">
        <f t="shared" si="4"/>
        <v>0</v>
      </c>
      <c r="R25" s="56"/>
    </row>
    <row r="26" spans="1:18" s="57" customFormat="1" ht="24.9" customHeight="1" x14ac:dyDescent="0.25">
      <c r="A26" s="302" t="str">
        <f>'Kalk UHR KiGa Am Rain'!A26</f>
        <v>Kindergarten</v>
      </c>
      <c r="B26" s="302" t="str">
        <f>'Kalk UHR KiGa Am Rain'!B26</f>
        <v>KG</v>
      </c>
      <c r="C26" s="302" t="str">
        <f>IF('Kalk UHR KiGa Am Rain'!C26="","",'Kalk UHR KiGa Am Rain'!C26)</f>
        <v/>
      </c>
      <c r="D26" s="302" t="str">
        <f>'Kalk UHR KiGa Am Rain'!D26</f>
        <v>WC und Wickelraum</v>
      </c>
      <c r="E26" s="302" t="str">
        <f>'Kalk UHR KiGa Am Rain'!E26</f>
        <v>Steinzeug/Fliesen</v>
      </c>
      <c r="F26" s="228" t="str">
        <f>'Kalk UHR KiGa Am Rain'!F26</f>
        <v>S1-W5</v>
      </c>
      <c r="G26" s="228" t="str">
        <f t="shared" si="0"/>
        <v>S1-J1</v>
      </c>
      <c r="H26" s="127">
        <f>'Kalk UHR KiGa Am Rain'!G26</f>
        <v>9.56</v>
      </c>
      <c r="I26" s="97" t="s">
        <v>54</v>
      </c>
      <c r="J26" s="328">
        <f>VLOOKUP(I26,Turnus!$H$9:$I$26,2,FALSE)</f>
        <v>1</v>
      </c>
      <c r="K26" s="127">
        <f t="shared" si="1"/>
        <v>9.56</v>
      </c>
      <c r="L26" s="128">
        <f>VLOOKUP($G26,'Leistungswerte GR Kigas'!$C$6:$F$53,4,FALSE)</f>
        <v>0</v>
      </c>
      <c r="M26" s="129">
        <f t="shared" si="5"/>
        <v>0</v>
      </c>
      <c r="N26" s="129">
        <f t="shared" si="2"/>
        <v>0</v>
      </c>
      <c r="O26" s="547">
        <f t="shared" si="6"/>
        <v>0</v>
      </c>
      <c r="P26" s="130">
        <f t="shared" si="3"/>
        <v>0</v>
      </c>
      <c r="Q26" s="131">
        <f t="shared" si="4"/>
        <v>0</v>
      </c>
    </row>
    <row r="27" spans="1:18" s="57" customFormat="1" ht="24.9" customHeight="1" x14ac:dyDescent="0.25">
      <c r="A27" s="302" t="str">
        <f>'Kalk UHR KiGa Am Rain'!A27</f>
        <v>Kindergarten</v>
      </c>
      <c r="B27" s="302" t="str">
        <f>'Kalk UHR KiGa Am Rain'!B27</f>
        <v>KG</v>
      </c>
      <c r="C27" s="302" t="str">
        <f>IF('Kalk UHR KiGa Am Rain'!C27="","",'Kalk UHR KiGa Am Rain'!C27)</f>
        <v/>
      </c>
      <c r="D27" s="302" t="str">
        <f>'Kalk UHR KiGa Am Rain'!D27</f>
        <v>Waschraum</v>
      </c>
      <c r="E27" s="302" t="str">
        <f>'Kalk UHR KiGa Am Rain'!E27</f>
        <v>Steinzeug/Fliesen</v>
      </c>
      <c r="F27" s="228" t="str">
        <f>'Kalk UHR KiGa Am Rain'!F27</f>
        <v>S1-W5</v>
      </c>
      <c r="G27" s="228" t="str">
        <f t="shared" si="0"/>
        <v>S1-J1</v>
      </c>
      <c r="H27" s="127">
        <f>'Kalk UHR KiGa Am Rain'!G27</f>
        <v>8.82</v>
      </c>
      <c r="I27" s="97" t="s">
        <v>54</v>
      </c>
      <c r="J27" s="328">
        <f>VLOOKUP(I27,Turnus!$H$9:$I$26,2,FALSE)</f>
        <v>1</v>
      </c>
      <c r="K27" s="127">
        <f t="shared" si="1"/>
        <v>8.82</v>
      </c>
      <c r="L27" s="128">
        <f>VLOOKUP($G27,'Leistungswerte GR Kigas'!$C$6:$F$53,4,FALSE)</f>
        <v>0</v>
      </c>
      <c r="M27" s="129">
        <f t="shared" si="5"/>
        <v>0</v>
      </c>
      <c r="N27" s="129">
        <f t="shared" si="2"/>
        <v>0</v>
      </c>
      <c r="O27" s="547">
        <f t="shared" si="6"/>
        <v>0</v>
      </c>
      <c r="P27" s="130">
        <f t="shared" si="3"/>
        <v>0</v>
      </c>
      <c r="Q27" s="131">
        <f t="shared" si="4"/>
        <v>0</v>
      </c>
      <c r="R27" s="309"/>
    </row>
    <row r="28" spans="1:18" s="57" customFormat="1" ht="24.9" customHeight="1" x14ac:dyDescent="0.25">
      <c r="A28" s="302" t="str">
        <f>'Kalk UHR KiGa Am Rain'!A28</f>
        <v>Kindergarten</v>
      </c>
      <c r="B28" s="302" t="str">
        <f>'Kalk UHR KiGa Am Rain'!B28</f>
        <v>KG</v>
      </c>
      <c r="C28" s="302" t="str">
        <f>IF('Kalk UHR KiGa Am Rain'!C28="","",'Kalk UHR KiGa Am Rain'!C28)</f>
        <v/>
      </c>
      <c r="D28" s="302" t="str">
        <f>'Kalk UHR KiGa Am Rain'!D28</f>
        <v>Küche</v>
      </c>
      <c r="E28" s="302" t="str">
        <f>'Kalk UHR KiGa Am Rain'!E28</f>
        <v>Steinzeug/Fliesen</v>
      </c>
      <c r="F28" s="228" t="str">
        <f>'Kalk UHR KiGa Am Rain'!F28</f>
        <v>K1-W5</v>
      </c>
      <c r="G28" s="228" t="str">
        <f t="shared" si="0"/>
        <v>K1-J1</v>
      </c>
      <c r="H28" s="127">
        <f>'Kalk UHR KiGa Am Rain'!G28</f>
        <v>8.44</v>
      </c>
      <c r="I28" s="97" t="s">
        <v>54</v>
      </c>
      <c r="J28" s="328">
        <f>VLOOKUP(I28,Turnus!$H$9:$I$26,2,FALSE)</f>
        <v>1</v>
      </c>
      <c r="K28" s="127">
        <f t="shared" si="1"/>
        <v>8.44</v>
      </c>
      <c r="L28" s="128">
        <f>VLOOKUP($G28,'Leistungswerte GR Kigas'!$C$6:$F$53,4,FALSE)</f>
        <v>0</v>
      </c>
      <c r="M28" s="129">
        <f t="shared" si="5"/>
        <v>0</v>
      </c>
      <c r="N28" s="129">
        <f t="shared" si="2"/>
        <v>0</v>
      </c>
      <c r="O28" s="547">
        <f t="shared" si="6"/>
        <v>0</v>
      </c>
      <c r="P28" s="130">
        <f t="shared" si="3"/>
        <v>0</v>
      </c>
      <c r="Q28" s="131">
        <f t="shared" si="4"/>
        <v>0</v>
      </c>
    </row>
    <row r="29" spans="1:18" s="57" customFormat="1" ht="24.9" customHeight="1" x14ac:dyDescent="0.25">
      <c r="A29" s="302" t="str">
        <f>'Kalk UHR KiGa Am Rain'!A29</f>
        <v>Kindergarten</v>
      </c>
      <c r="B29" s="302" t="str">
        <f>'Kalk UHR KiGa Am Rain'!B29</f>
        <v>KG</v>
      </c>
      <c r="C29" s="302" t="str">
        <f>IF('Kalk UHR KiGa Am Rain'!C29="","",'Kalk UHR KiGa Am Rain'!C29)</f>
        <v/>
      </c>
      <c r="D29" s="302" t="str">
        <f>'Kalk UHR KiGa Am Rain'!D29</f>
        <v>Büro</v>
      </c>
      <c r="E29" s="302" t="str">
        <f>'Kalk UHR KiGa Am Rain'!E29</f>
        <v>Lino</v>
      </c>
      <c r="F29" s="228" t="str">
        <f>'Kalk UHR KiGa Am Rain'!F29</f>
        <v>B1-W5</v>
      </c>
      <c r="G29" s="228" t="str">
        <f t="shared" si="0"/>
        <v>B1-J0,5</v>
      </c>
      <c r="H29" s="127">
        <f>'Kalk UHR KiGa Am Rain'!G29</f>
        <v>17.559999999999999</v>
      </c>
      <c r="I29" s="97" t="s">
        <v>909</v>
      </c>
      <c r="J29" s="328">
        <f>VLOOKUP(I29,Turnus!$H$9:$I$26,2,FALSE)</f>
        <v>0.5</v>
      </c>
      <c r="K29" s="127">
        <f t="shared" si="1"/>
        <v>8.7799999999999994</v>
      </c>
      <c r="L29" s="128">
        <f>VLOOKUP($G29,'Leistungswerte GR Kigas'!$C$6:$F$53,4,FALSE)</f>
        <v>0</v>
      </c>
      <c r="M29" s="129">
        <f t="shared" si="5"/>
        <v>0</v>
      </c>
      <c r="N29" s="129">
        <f t="shared" si="2"/>
        <v>0</v>
      </c>
      <c r="O29" s="547">
        <f t="shared" si="6"/>
        <v>0</v>
      </c>
      <c r="P29" s="130">
        <f t="shared" si="3"/>
        <v>0</v>
      </c>
      <c r="Q29" s="131">
        <f t="shared" si="4"/>
        <v>0</v>
      </c>
      <c r="R29" s="56"/>
    </row>
    <row r="30" spans="1:18" s="57" customFormat="1" ht="24.9" customHeight="1" x14ac:dyDescent="0.25">
      <c r="A30" s="302" t="str">
        <f>'Kalk UHR KiGa Am Rain'!A30</f>
        <v>Kindergarten</v>
      </c>
      <c r="B30" s="302" t="str">
        <f>'Kalk UHR KiGa Am Rain'!B30</f>
        <v>EG</v>
      </c>
      <c r="C30" s="302" t="str">
        <f>IF('Kalk UHR KiGa Am Rain'!C30="","",'Kalk UHR KiGa Am Rain'!C30)</f>
        <v/>
      </c>
      <c r="D30" s="302" t="str">
        <f>'Kalk UHR KiGa Am Rain'!D30</f>
        <v>Windfang</v>
      </c>
      <c r="E30" s="302" t="str">
        <f>'Kalk UHR KiGa Am Rain'!E30</f>
        <v>Steinzeug/ Sauberlaufmatte</v>
      </c>
      <c r="F30" s="228" t="str">
        <f>'Kalk UHR KiGa Am Rain'!F30</f>
        <v>E2-W5</v>
      </c>
      <c r="G30" s="228" t="str">
        <f t="shared" si="0"/>
        <v>E2-J0,5</v>
      </c>
      <c r="H30" s="127">
        <f>'Kalk UHR KiGa Am Rain'!G30</f>
        <v>6.8</v>
      </c>
      <c r="I30" s="97" t="s">
        <v>909</v>
      </c>
      <c r="J30" s="328">
        <f>VLOOKUP(I30,Turnus!$H$9:$I$26,2,FALSE)</f>
        <v>0.5</v>
      </c>
      <c r="K30" s="127">
        <f t="shared" si="1"/>
        <v>3.4</v>
      </c>
      <c r="L30" s="128">
        <f>VLOOKUP($G30,'Leistungswerte GR Kigas'!$C$6:$F$53,4,FALSE)</f>
        <v>0</v>
      </c>
      <c r="M30" s="129">
        <f t="shared" si="5"/>
        <v>0</v>
      </c>
      <c r="N30" s="129">
        <f t="shared" si="2"/>
        <v>0</v>
      </c>
      <c r="O30" s="547">
        <f t="shared" si="6"/>
        <v>0</v>
      </c>
      <c r="P30" s="130">
        <f t="shared" si="3"/>
        <v>0</v>
      </c>
      <c r="Q30" s="131">
        <f t="shared" si="4"/>
        <v>0</v>
      </c>
      <c r="R30" s="56"/>
    </row>
    <row r="31" spans="1:18" s="57" customFormat="1" ht="24.9" customHeight="1" x14ac:dyDescent="0.25">
      <c r="A31" s="302" t="str">
        <f>'Kalk UHR KiGa Am Rain'!A31</f>
        <v>Kindergarten</v>
      </c>
      <c r="B31" s="302" t="str">
        <f>'Kalk UHR KiGa Am Rain'!B31</f>
        <v>EG</v>
      </c>
      <c r="C31" s="302" t="str">
        <f>IF('Kalk UHR KiGa Am Rain'!C31="","",'Kalk UHR KiGa Am Rain'!C31)</f>
        <v/>
      </c>
      <c r="D31" s="302" t="str">
        <f>'Kalk UHR KiGa Am Rain'!D31</f>
        <v>Halle</v>
      </c>
      <c r="E31" s="302" t="str">
        <f>'Kalk UHR KiGa Am Rain'!E31</f>
        <v>Steinzeug/Fliesen</v>
      </c>
      <c r="F31" s="228" t="str">
        <f>'Kalk UHR KiGa Am Rain'!F31</f>
        <v>E1-W5</v>
      </c>
      <c r="G31" s="228" t="str">
        <f t="shared" si="0"/>
        <v>E1-J0,5</v>
      </c>
      <c r="H31" s="127">
        <f>'Kalk UHR KiGa Am Rain'!G31</f>
        <v>45.36</v>
      </c>
      <c r="I31" s="97" t="s">
        <v>909</v>
      </c>
      <c r="J31" s="328">
        <f>VLOOKUP(I31,Turnus!$H$9:$I$26,2,FALSE)</f>
        <v>0.5</v>
      </c>
      <c r="K31" s="127">
        <f t="shared" si="1"/>
        <v>22.68</v>
      </c>
      <c r="L31" s="128">
        <f>VLOOKUP($G31,'Leistungswerte GR Kigas'!$C$6:$F$53,4,FALSE)</f>
        <v>0</v>
      </c>
      <c r="M31" s="129">
        <f t="shared" si="5"/>
        <v>0</v>
      </c>
      <c r="N31" s="129">
        <f t="shared" si="2"/>
        <v>0</v>
      </c>
      <c r="O31" s="547">
        <f t="shared" si="6"/>
        <v>0</v>
      </c>
      <c r="P31" s="130">
        <f t="shared" si="3"/>
        <v>0</v>
      </c>
      <c r="Q31" s="131">
        <f t="shared" si="4"/>
        <v>0</v>
      </c>
      <c r="R31" s="56"/>
    </row>
    <row r="32" spans="1:18" s="57" customFormat="1" ht="24.9" customHeight="1" x14ac:dyDescent="0.25">
      <c r="A32" s="302" t="str">
        <f>'Kalk UHR KiGa Am Rain'!A32</f>
        <v>Kindergarten</v>
      </c>
      <c r="B32" s="302" t="str">
        <f>'Kalk UHR KiGa Am Rain'!B32</f>
        <v>EG</v>
      </c>
      <c r="C32" s="302" t="str">
        <f>IF('Kalk UHR KiGa Am Rain'!C32="","",'Kalk UHR KiGa Am Rain'!C32)</f>
        <v/>
      </c>
      <c r="D32" s="302" t="str">
        <f>'Kalk UHR KiGa Am Rain'!D32</f>
        <v>Flur 1</v>
      </c>
      <c r="E32" s="302" t="str">
        <f>'Kalk UHR KiGa Am Rain'!E32</f>
        <v>Steinzeug/Fliesen</v>
      </c>
      <c r="F32" s="228" t="str">
        <f>'Kalk UHR KiGa Am Rain'!F32</f>
        <v>F1-W5</v>
      </c>
      <c r="G32" s="228" t="str">
        <f t="shared" si="0"/>
        <v>F1-J0,5</v>
      </c>
      <c r="H32" s="127">
        <f>'Kalk UHR KiGa Am Rain'!G32</f>
        <v>11.18</v>
      </c>
      <c r="I32" s="97" t="s">
        <v>909</v>
      </c>
      <c r="J32" s="328">
        <f>VLOOKUP(I32,Turnus!$H$9:$I$26,2,FALSE)</f>
        <v>0.5</v>
      </c>
      <c r="K32" s="127">
        <f t="shared" si="1"/>
        <v>5.59</v>
      </c>
      <c r="L32" s="128">
        <f>VLOOKUP($G32,'Leistungswerte GR Kigas'!$C$6:$F$53,4,FALSE)</f>
        <v>0</v>
      </c>
      <c r="M32" s="129">
        <f t="shared" si="5"/>
        <v>0</v>
      </c>
      <c r="N32" s="129">
        <f t="shared" si="2"/>
        <v>0</v>
      </c>
      <c r="O32" s="547">
        <f t="shared" si="6"/>
        <v>0</v>
      </c>
      <c r="P32" s="130">
        <f t="shared" si="3"/>
        <v>0</v>
      </c>
      <c r="Q32" s="131">
        <f t="shared" si="4"/>
        <v>0</v>
      </c>
      <c r="R32" s="56"/>
    </row>
    <row r="33" spans="1:18" s="57" customFormat="1" ht="24.9" customHeight="1" x14ac:dyDescent="0.25">
      <c r="A33" s="302" t="str">
        <f>'Kalk UHR KiGa Am Rain'!A33</f>
        <v>Kindergarten</v>
      </c>
      <c r="B33" s="302" t="str">
        <f>'Kalk UHR KiGa Am Rain'!B33</f>
        <v>EG</v>
      </c>
      <c r="C33" s="302" t="str">
        <f>IF('Kalk UHR KiGa Am Rain'!C33="","",'Kalk UHR KiGa Am Rain'!C33)</f>
        <v/>
      </c>
      <c r="D33" s="302" t="str">
        <f>'Kalk UHR KiGa Am Rain'!D33</f>
        <v>Flur 2</v>
      </c>
      <c r="E33" s="302" t="str">
        <f>'Kalk UHR KiGa Am Rain'!E33</f>
        <v>Steinzeug/Fliesen</v>
      </c>
      <c r="F33" s="228" t="str">
        <f>'Kalk UHR KiGa Am Rain'!F33</f>
        <v>F1-W5</v>
      </c>
      <c r="G33" s="228" t="str">
        <f t="shared" si="0"/>
        <v>F1-J0,5</v>
      </c>
      <c r="H33" s="127">
        <f>'Kalk UHR KiGa Am Rain'!G33</f>
        <v>23.99</v>
      </c>
      <c r="I33" s="97" t="s">
        <v>909</v>
      </c>
      <c r="J33" s="328">
        <f>VLOOKUP(I33,Turnus!$H$9:$I$26,2,FALSE)</f>
        <v>0.5</v>
      </c>
      <c r="K33" s="127">
        <f t="shared" si="1"/>
        <v>11.994999999999999</v>
      </c>
      <c r="L33" s="128">
        <f>VLOOKUP($G33,'Leistungswerte GR Kigas'!$C$6:$F$53,4,FALSE)</f>
        <v>0</v>
      </c>
      <c r="M33" s="129">
        <f t="shared" si="5"/>
        <v>0</v>
      </c>
      <c r="N33" s="129">
        <f t="shared" si="2"/>
        <v>0</v>
      </c>
      <c r="O33" s="547">
        <f t="shared" si="6"/>
        <v>0</v>
      </c>
      <c r="P33" s="130">
        <f t="shared" si="3"/>
        <v>0</v>
      </c>
      <c r="Q33" s="131">
        <f t="shared" si="4"/>
        <v>0</v>
      </c>
      <c r="R33" s="56"/>
    </row>
    <row r="34" spans="1:18" s="57" customFormat="1" ht="24.9" customHeight="1" x14ac:dyDescent="0.25">
      <c r="A34" s="302" t="str">
        <f>'Kalk UHR KiGa Am Rain'!A34</f>
        <v>Kindergarten</v>
      </c>
      <c r="B34" s="302" t="str">
        <f>'Kalk UHR KiGa Am Rain'!B34</f>
        <v>EG</v>
      </c>
      <c r="C34" s="302" t="str">
        <f>IF('Kalk UHR KiGa Am Rain'!C34="","",'Kalk UHR KiGa Am Rain'!C34)</f>
        <v/>
      </c>
      <c r="D34" s="302" t="str">
        <f>'Kalk UHR KiGa Am Rain'!D34</f>
        <v>Flur 3</v>
      </c>
      <c r="E34" s="302" t="str">
        <f>'Kalk UHR KiGa Am Rain'!E34</f>
        <v>Steinzeug/Fliesen</v>
      </c>
      <c r="F34" s="228" t="str">
        <f>'Kalk UHR KiGa Am Rain'!F34</f>
        <v>F1-W5</v>
      </c>
      <c r="G34" s="228" t="str">
        <f t="shared" si="0"/>
        <v>F1-J0,5</v>
      </c>
      <c r="H34" s="127">
        <f>'Kalk UHR KiGa Am Rain'!G34</f>
        <v>9.81</v>
      </c>
      <c r="I34" s="97" t="s">
        <v>909</v>
      </c>
      <c r="J34" s="328">
        <f>VLOOKUP(I34,Turnus!$H$9:$I$26,2,FALSE)</f>
        <v>0.5</v>
      </c>
      <c r="K34" s="127">
        <f t="shared" si="1"/>
        <v>4.9050000000000002</v>
      </c>
      <c r="L34" s="128">
        <f>VLOOKUP($G34,'Leistungswerte GR Kigas'!$C$6:$F$53,4,FALSE)</f>
        <v>0</v>
      </c>
      <c r="M34" s="129">
        <f t="shared" si="5"/>
        <v>0</v>
      </c>
      <c r="N34" s="129">
        <f t="shared" si="2"/>
        <v>0</v>
      </c>
      <c r="O34" s="547">
        <f t="shared" si="6"/>
        <v>0</v>
      </c>
      <c r="P34" s="130">
        <f t="shared" si="3"/>
        <v>0</v>
      </c>
      <c r="Q34" s="131">
        <f t="shared" si="4"/>
        <v>0</v>
      </c>
      <c r="R34" s="56"/>
    </row>
    <row r="35" spans="1:18" s="57" customFormat="1" ht="24.9" customHeight="1" x14ac:dyDescent="0.25">
      <c r="A35" s="302" t="str">
        <f>'Kalk UHR KiGa Am Rain'!A35</f>
        <v>Kindergarten</v>
      </c>
      <c r="B35" s="302" t="str">
        <f>'Kalk UHR KiGa Am Rain'!B35</f>
        <v>EG</v>
      </c>
      <c r="C35" s="302" t="str">
        <f>IF('Kalk UHR KiGa Am Rain'!C35="","",'Kalk UHR KiGa Am Rain'!C35)</f>
        <v/>
      </c>
      <c r="D35" s="302" t="str">
        <f>'Kalk UHR KiGa Am Rain'!D35</f>
        <v>Zwischenflur</v>
      </c>
      <c r="E35" s="302" t="str">
        <f>'Kalk UHR KiGa Am Rain'!E35</f>
        <v>Steinzeug/Fliesen</v>
      </c>
      <c r="F35" s="228" t="str">
        <f>'Kalk UHR KiGa Am Rain'!F35</f>
        <v>F1-W5</v>
      </c>
      <c r="G35" s="228" t="str">
        <f t="shared" si="0"/>
        <v>F1-J0,5</v>
      </c>
      <c r="H35" s="127">
        <f>'Kalk UHR KiGa Am Rain'!G35</f>
        <v>4.9000000000000004</v>
      </c>
      <c r="I35" s="97" t="s">
        <v>909</v>
      </c>
      <c r="J35" s="328">
        <f>VLOOKUP(I35,Turnus!$H$9:$I$26,2,FALSE)</f>
        <v>0.5</v>
      </c>
      <c r="K35" s="127">
        <f t="shared" si="1"/>
        <v>2.4500000000000002</v>
      </c>
      <c r="L35" s="128">
        <f>VLOOKUP($G35,'Leistungswerte GR Kigas'!$C$6:$F$53,4,FALSE)</f>
        <v>0</v>
      </c>
      <c r="M35" s="129">
        <f t="shared" si="5"/>
        <v>0</v>
      </c>
      <c r="N35" s="129">
        <f t="shared" si="2"/>
        <v>0</v>
      </c>
      <c r="O35" s="547">
        <f t="shared" si="6"/>
        <v>0</v>
      </c>
      <c r="P35" s="130">
        <f t="shared" si="3"/>
        <v>0</v>
      </c>
      <c r="Q35" s="131">
        <f t="shared" si="4"/>
        <v>0</v>
      </c>
      <c r="R35" s="56"/>
    </row>
    <row r="36" spans="1:18" s="57" customFormat="1" ht="24.9" customHeight="1" x14ac:dyDescent="0.25">
      <c r="A36" s="302" t="str">
        <f>'Kalk UHR KiGa Am Rain'!A36</f>
        <v>Kindergarten</v>
      </c>
      <c r="B36" s="302" t="str">
        <f>'Kalk UHR KiGa Am Rain'!B36</f>
        <v>EG</v>
      </c>
      <c r="C36" s="302" t="str">
        <f>IF('Kalk UHR KiGa Am Rain'!C36="","",'Kalk UHR KiGa Am Rain'!C36)</f>
        <v/>
      </c>
      <c r="D36" s="302" t="str">
        <f>'Kalk UHR KiGa Am Rain'!D36</f>
        <v>Vorplatz</v>
      </c>
      <c r="E36" s="302" t="str">
        <f>'Kalk UHR KiGa Am Rain'!E36</f>
        <v>Steinzeug/ Sauberlaufmatte</v>
      </c>
      <c r="F36" s="228" t="str">
        <f>'Kalk UHR KiGa Am Rain'!F36</f>
        <v>F1-W5</v>
      </c>
      <c r="G36" s="228" t="str">
        <f t="shared" si="0"/>
        <v>F1-J0,5</v>
      </c>
      <c r="H36" s="127">
        <f>'Kalk UHR KiGa Am Rain'!G36</f>
        <v>11.31</v>
      </c>
      <c r="I36" s="97" t="s">
        <v>909</v>
      </c>
      <c r="J36" s="328">
        <f>VLOOKUP(I36,Turnus!$H$9:$I$26,2,FALSE)</f>
        <v>0.5</v>
      </c>
      <c r="K36" s="127">
        <f t="shared" si="1"/>
        <v>5.6550000000000002</v>
      </c>
      <c r="L36" s="128">
        <f>VLOOKUP($G36,'Leistungswerte GR Kigas'!$C$6:$F$53,4,FALSE)</f>
        <v>0</v>
      </c>
      <c r="M36" s="129">
        <f t="shared" si="5"/>
        <v>0</v>
      </c>
      <c r="N36" s="129">
        <f t="shared" si="2"/>
        <v>0</v>
      </c>
      <c r="O36" s="547">
        <f t="shared" si="6"/>
        <v>0</v>
      </c>
      <c r="P36" s="130">
        <f t="shared" si="3"/>
        <v>0</v>
      </c>
      <c r="Q36" s="131">
        <f t="shared" si="4"/>
        <v>0</v>
      </c>
      <c r="R36" s="56"/>
    </row>
    <row r="37" spans="1:18" s="57" customFormat="1" ht="24.9" customHeight="1" x14ac:dyDescent="0.25">
      <c r="A37" s="302" t="str">
        <f>'Kalk UHR KiGa Am Rain'!A37</f>
        <v>Kindergarten</v>
      </c>
      <c r="B37" s="302" t="str">
        <f>'Kalk UHR KiGa Am Rain'!B37</f>
        <v>EG</v>
      </c>
      <c r="C37" s="302" t="str">
        <f>IF('Kalk UHR KiGa Am Rain'!C37="","",'Kalk UHR KiGa Am Rain'!C37)</f>
        <v/>
      </c>
      <c r="D37" s="302" t="str">
        <f>'Kalk UHR KiGa Am Rain'!D37</f>
        <v>Treppenhaus Vorplatz</v>
      </c>
      <c r="E37" s="302" t="str">
        <f>'Kalk UHR KiGa Am Rain'!E37</f>
        <v>Steinzeug/Fliesen</v>
      </c>
      <c r="F37" s="228" t="str">
        <f>'Kalk UHR KiGa Am Rain'!F37</f>
        <v>F1-W5</v>
      </c>
      <c r="G37" s="228" t="str">
        <f t="shared" si="0"/>
        <v>F1-J0,5</v>
      </c>
      <c r="H37" s="127">
        <f>'Kalk UHR KiGa Am Rain'!G37</f>
        <v>9.5299999999999994</v>
      </c>
      <c r="I37" s="97" t="s">
        <v>909</v>
      </c>
      <c r="J37" s="328">
        <f>VLOOKUP(I37,Turnus!$H$9:$I$26,2,FALSE)</f>
        <v>0.5</v>
      </c>
      <c r="K37" s="127">
        <f t="shared" si="1"/>
        <v>4.7649999999999997</v>
      </c>
      <c r="L37" s="128">
        <f>VLOOKUP($G37,'Leistungswerte GR Kigas'!$C$6:$F$53,4,FALSE)</f>
        <v>0</v>
      </c>
      <c r="M37" s="129">
        <f t="shared" si="5"/>
        <v>0</v>
      </c>
      <c r="N37" s="129">
        <f t="shared" si="2"/>
        <v>0</v>
      </c>
      <c r="O37" s="547">
        <f t="shared" si="6"/>
        <v>0</v>
      </c>
      <c r="P37" s="130">
        <f t="shared" si="3"/>
        <v>0</v>
      </c>
      <c r="Q37" s="131">
        <f t="shared" si="4"/>
        <v>0</v>
      </c>
      <c r="R37" s="56"/>
    </row>
    <row r="38" spans="1:18" s="57" customFormat="1" ht="24.9" customHeight="1" x14ac:dyDescent="0.25">
      <c r="A38" s="302" t="str">
        <f>'Kalk UHR KiGa Am Rain'!A38</f>
        <v>Kindergarten</v>
      </c>
      <c r="B38" s="302" t="str">
        <f>'Kalk UHR KiGa Am Rain'!B38</f>
        <v>EG</v>
      </c>
      <c r="C38" s="302" t="str">
        <f>IF('Kalk UHR KiGa Am Rain'!C38="","",'Kalk UHR KiGa Am Rain'!C38)</f>
        <v/>
      </c>
      <c r="D38" s="302" t="str">
        <f>'Kalk UHR KiGa Am Rain'!D38</f>
        <v>Treppenhaus zum OG</v>
      </c>
      <c r="E38" s="302" t="str">
        <f>'Kalk UHR KiGa Am Rain'!E38</f>
        <v>Steinzeug/Fliesen</v>
      </c>
      <c r="F38" s="228" t="str">
        <f>'Kalk UHR KiGa Am Rain'!F38</f>
        <v>F3-W5</v>
      </c>
      <c r="G38" s="228" t="str">
        <f t="shared" si="0"/>
        <v>F3-J0,5</v>
      </c>
      <c r="H38" s="127">
        <f>'Kalk UHR KiGa Am Rain'!G38</f>
        <v>16</v>
      </c>
      <c r="I38" s="97" t="s">
        <v>909</v>
      </c>
      <c r="J38" s="328">
        <f>VLOOKUP(I38,Turnus!$H$9:$I$26,2,FALSE)</f>
        <v>0.5</v>
      </c>
      <c r="K38" s="127">
        <f t="shared" si="1"/>
        <v>8</v>
      </c>
      <c r="L38" s="128">
        <f>VLOOKUP($G38,'Leistungswerte GR Kigas'!$C$6:$F$53,4,FALSE)</f>
        <v>0</v>
      </c>
      <c r="M38" s="129">
        <f t="shared" si="5"/>
        <v>0</v>
      </c>
      <c r="N38" s="129">
        <f t="shared" si="2"/>
        <v>0</v>
      </c>
      <c r="O38" s="547">
        <f t="shared" si="6"/>
        <v>0</v>
      </c>
      <c r="P38" s="130">
        <f t="shared" si="3"/>
        <v>0</v>
      </c>
      <c r="Q38" s="131">
        <f t="shared" si="4"/>
        <v>0</v>
      </c>
      <c r="R38" s="56"/>
    </row>
    <row r="39" spans="1:18" s="57" customFormat="1" ht="24.6" customHeight="1" x14ac:dyDescent="0.25">
      <c r="A39" s="302" t="str">
        <f>'Kalk UHR KiGa Am Rain'!A39</f>
        <v>Kindergarten</v>
      </c>
      <c r="B39" s="302" t="str">
        <f>'Kalk UHR KiGa Am Rain'!B39</f>
        <v>EG</v>
      </c>
      <c r="C39" s="302" t="str">
        <f>IF('Kalk UHR KiGa Am Rain'!C39="","",'Kalk UHR KiGa Am Rain'!C39)</f>
        <v/>
      </c>
      <c r="D39" s="302" t="str">
        <f>'Kalk UHR KiGa Am Rain'!D39</f>
        <v>Intensivraum 1 Kinderküche</v>
      </c>
      <c r="E39" s="302" t="str">
        <f>'Kalk UHR KiGa Am Rain'!E39</f>
        <v>Lino</v>
      </c>
      <c r="F39" s="228" t="str">
        <f>'Kalk UHR KiGa Am Rain'!F39</f>
        <v>G1-W5</v>
      </c>
      <c r="G39" s="228" t="str">
        <f t="shared" si="0"/>
        <v>G1-J0,5</v>
      </c>
      <c r="H39" s="127">
        <f>'Kalk UHR KiGa Am Rain'!G39</f>
        <v>19.440000000000001</v>
      </c>
      <c r="I39" s="97" t="s">
        <v>909</v>
      </c>
      <c r="J39" s="328">
        <f>VLOOKUP(I39,Turnus!$H$9:$I$26,2,FALSE)</f>
        <v>0.5</v>
      </c>
      <c r="K39" s="127">
        <f t="shared" si="1"/>
        <v>9.7200000000000006</v>
      </c>
      <c r="L39" s="128">
        <f>VLOOKUP($G39,'Leistungswerte GR Kigas'!$C$6:$F$53,4,FALSE)</f>
        <v>0</v>
      </c>
      <c r="M39" s="129">
        <f t="shared" si="5"/>
        <v>0</v>
      </c>
      <c r="N39" s="129">
        <f t="shared" si="2"/>
        <v>0</v>
      </c>
      <c r="O39" s="547">
        <f t="shared" si="6"/>
        <v>0</v>
      </c>
      <c r="P39" s="130">
        <f t="shared" si="3"/>
        <v>0</v>
      </c>
      <c r="Q39" s="131">
        <f t="shared" si="4"/>
        <v>0</v>
      </c>
      <c r="R39" s="56"/>
    </row>
    <row r="40" spans="1:18" s="57" customFormat="1" ht="24.9" customHeight="1" x14ac:dyDescent="0.25">
      <c r="A40" s="302" t="str">
        <f>'Kalk UHR KiGa Am Rain'!A40</f>
        <v>Kindergarten</v>
      </c>
      <c r="B40" s="302" t="str">
        <f>'Kalk UHR KiGa Am Rain'!B40</f>
        <v>EG</v>
      </c>
      <c r="C40" s="302" t="str">
        <f>IF('Kalk UHR KiGa Am Rain'!C40="","",'Kalk UHR KiGa Am Rain'!C40)</f>
        <v/>
      </c>
      <c r="D40" s="302" t="str">
        <f>'Kalk UHR KiGa Am Rain'!D40</f>
        <v>Garderobe 2</v>
      </c>
      <c r="E40" s="302" t="str">
        <f>'Kalk UHR KiGa Am Rain'!E40</f>
        <v>Steinzeug/Fliesen</v>
      </c>
      <c r="F40" s="228" t="str">
        <f>'Kalk UHR KiGa Am Rain'!F40</f>
        <v>H1-W5</v>
      </c>
      <c r="G40" s="228" t="str">
        <f t="shared" si="0"/>
        <v>H1-J0,5</v>
      </c>
      <c r="H40" s="127">
        <f>'Kalk UHR KiGa Am Rain'!G40</f>
        <v>8.91</v>
      </c>
      <c r="I40" s="97" t="s">
        <v>909</v>
      </c>
      <c r="J40" s="328">
        <f>VLOOKUP(I40,Turnus!$H$9:$I$26,2,FALSE)</f>
        <v>0.5</v>
      </c>
      <c r="K40" s="127">
        <f t="shared" si="1"/>
        <v>4.4550000000000001</v>
      </c>
      <c r="L40" s="128">
        <f>VLOOKUP($G40,'Leistungswerte GR Kigas'!$C$6:$F$53,4,FALSE)</f>
        <v>0</v>
      </c>
      <c r="M40" s="129">
        <f t="shared" si="5"/>
        <v>0</v>
      </c>
      <c r="N40" s="129">
        <f t="shared" si="2"/>
        <v>0</v>
      </c>
      <c r="O40" s="547">
        <f t="shared" si="6"/>
        <v>0</v>
      </c>
      <c r="P40" s="130">
        <f t="shared" si="3"/>
        <v>0</v>
      </c>
      <c r="Q40" s="131">
        <f t="shared" si="4"/>
        <v>0</v>
      </c>
      <c r="R40" s="56"/>
    </row>
    <row r="41" spans="1:18" s="57" customFormat="1" ht="24.9" customHeight="1" x14ac:dyDescent="0.25">
      <c r="A41" s="302" t="str">
        <f>'Kalk UHR KiGa Am Rain'!A41</f>
        <v>Kindergarten</v>
      </c>
      <c r="B41" s="302" t="str">
        <f>'Kalk UHR KiGa Am Rain'!B41</f>
        <v>EG</v>
      </c>
      <c r="C41" s="302" t="str">
        <f>IF('Kalk UHR KiGa Am Rain'!C41="","",'Kalk UHR KiGa Am Rain'!C41)</f>
        <v/>
      </c>
      <c r="D41" s="302" t="str">
        <f>'Kalk UHR KiGa Am Rain'!D41</f>
        <v>Waschraum 2</v>
      </c>
      <c r="E41" s="302" t="str">
        <f>'Kalk UHR KiGa Am Rain'!E41</f>
        <v>Steinzeug/Fliesen</v>
      </c>
      <c r="F41" s="228" t="str">
        <f>'Kalk UHR KiGa Am Rain'!F41</f>
        <v>S1-W5</v>
      </c>
      <c r="G41" s="228" t="str">
        <f t="shared" si="0"/>
        <v>S1-J1</v>
      </c>
      <c r="H41" s="127">
        <f>'Kalk UHR KiGa Am Rain'!G41</f>
        <v>9.2100000000000009</v>
      </c>
      <c r="I41" s="97" t="s">
        <v>54</v>
      </c>
      <c r="J41" s="328">
        <f>VLOOKUP(I41,Turnus!$H$9:$I$26,2,FALSE)</f>
        <v>1</v>
      </c>
      <c r="K41" s="127">
        <f t="shared" si="1"/>
        <v>9.2100000000000009</v>
      </c>
      <c r="L41" s="128">
        <f>VLOOKUP($G41,'Leistungswerte GR Kigas'!$C$6:$F$53,4,FALSE)</f>
        <v>0</v>
      </c>
      <c r="M41" s="129">
        <f t="shared" si="5"/>
        <v>0</v>
      </c>
      <c r="N41" s="129">
        <f t="shared" si="2"/>
        <v>0</v>
      </c>
      <c r="O41" s="547">
        <f t="shared" si="6"/>
        <v>0</v>
      </c>
      <c r="P41" s="130">
        <f t="shared" si="3"/>
        <v>0</v>
      </c>
      <c r="Q41" s="131">
        <f t="shared" si="4"/>
        <v>0</v>
      </c>
    </row>
    <row r="42" spans="1:18" s="57" customFormat="1" ht="24.9" customHeight="1" x14ac:dyDescent="0.25">
      <c r="A42" s="302" t="str">
        <f>'Kalk UHR KiGa Am Rain'!A42</f>
        <v>Kindergarten</v>
      </c>
      <c r="B42" s="302" t="str">
        <f>'Kalk UHR KiGa Am Rain'!B42</f>
        <v>EG</v>
      </c>
      <c r="C42" s="302" t="str">
        <f>IF('Kalk UHR KiGa Am Rain'!C42="","",'Kalk UHR KiGa Am Rain'!C42)</f>
        <v/>
      </c>
      <c r="D42" s="302" t="str">
        <f>'Kalk UHR KiGa Am Rain'!D42</f>
        <v>Waschraum 3</v>
      </c>
      <c r="E42" s="302" t="str">
        <f>'Kalk UHR KiGa Am Rain'!E42</f>
        <v>Steinzeug/Fliesen</v>
      </c>
      <c r="F42" s="228" t="str">
        <f>'Kalk UHR KiGa Am Rain'!F42</f>
        <v>S1-W5</v>
      </c>
      <c r="G42" s="228" t="str">
        <f t="shared" si="0"/>
        <v>S1-J1</v>
      </c>
      <c r="H42" s="127">
        <f>'Kalk UHR KiGa Am Rain'!G42</f>
        <v>9.2100000000000009</v>
      </c>
      <c r="I42" s="97" t="s">
        <v>54</v>
      </c>
      <c r="J42" s="328">
        <f>VLOOKUP(I42,Turnus!$H$9:$I$26,2,FALSE)</f>
        <v>1</v>
      </c>
      <c r="K42" s="127">
        <f t="shared" ref="K42:K54" si="7">+H42*J42</f>
        <v>9.2100000000000009</v>
      </c>
      <c r="L42" s="128">
        <f>VLOOKUP($G42,'Leistungswerte GR Kigas'!$C$6:$F$53,4,FALSE)</f>
        <v>0</v>
      </c>
      <c r="M42" s="129">
        <f t="shared" si="5"/>
        <v>0</v>
      </c>
      <c r="N42" s="129">
        <f t="shared" ref="N42:N54" si="8">IF(ISERROR(K42/L42),0,K42/L42)</f>
        <v>0</v>
      </c>
      <c r="O42" s="547">
        <f t="shared" si="6"/>
        <v>0</v>
      </c>
      <c r="P42" s="130">
        <f t="shared" ref="P42:P54" si="9">IF(ISERROR(H42/L42*O42),0,H42/L42*O42)</f>
        <v>0</v>
      </c>
      <c r="Q42" s="131">
        <f t="shared" ref="Q42:Q54" si="10">+N42*O42</f>
        <v>0</v>
      </c>
    </row>
    <row r="43" spans="1:18" s="57" customFormat="1" ht="24.9" customHeight="1" x14ac:dyDescent="0.25">
      <c r="A43" s="302" t="str">
        <f>'Kalk UHR KiGa Am Rain'!A43</f>
        <v>Kindergarten</v>
      </c>
      <c r="B43" s="302" t="str">
        <f>'Kalk UHR KiGa Am Rain'!B43</f>
        <v>EG</v>
      </c>
      <c r="C43" s="302" t="str">
        <f>IF('Kalk UHR KiGa Am Rain'!C43="","",'Kalk UHR KiGa Am Rain'!C43)</f>
        <v/>
      </c>
      <c r="D43" s="302" t="str">
        <f>'Kalk UHR KiGa Am Rain'!D43</f>
        <v>Garderobe 3</v>
      </c>
      <c r="E43" s="302" t="str">
        <f>'Kalk UHR KiGa Am Rain'!E43</f>
        <v>Steinzeug/Fliesen</v>
      </c>
      <c r="F43" s="228" t="str">
        <f>'Kalk UHR KiGa Am Rain'!F43</f>
        <v>H1-W5</v>
      </c>
      <c r="G43" s="228" t="str">
        <f t="shared" si="0"/>
        <v>H1-J0,5</v>
      </c>
      <c r="H43" s="127">
        <f>'Kalk UHR KiGa Am Rain'!G43</f>
        <v>8.91</v>
      </c>
      <c r="I43" s="97" t="s">
        <v>909</v>
      </c>
      <c r="J43" s="328">
        <f>VLOOKUP(I43,Turnus!$H$9:$I$26,2,FALSE)</f>
        <v>0.5</v>
      </c>
      <c r="K43" s="127">
        <f t="shared" si="7"/>
        <v>4.4550000000000001</v>
      </c>
      <c r="L43" s="128">
        <f>VLOOKUP($G43,'Leistungswerte GR Kigas'!$C$6:$F$53,4,FALSE)</f>
        <v>0</v>
      </c>
      <c r="M43" s="129">
        <f t="shared" si="5"/>
        <v>0</v>
      </c>
      <c r="N43" s="129">
        <f t="shared" si="8"/>
        <v>0</v>
      </c>
      <c r="O43" s="547">
        <f t="shared" si="6"/>
        <v>0</v>
      </c>
      <c r="P43" s="130">
        <f t="shared" si="9"/>
        <v>0</v>
      </c>
      <c r="Q43" s="131">
        <f t="shared" si="10"/>
        <v>0</v>
      </c>
      <c r="R43" s="56"/>
    </row>
    <row r="44" spans="1:18" s="57" customFormat="1" ht="24.9" customHeight="1" x14ac:dyDescent="0.25">
      <c r="A44" s="302" t="str">
        <f>'Kalk UHR KiGa Am Rain'!A44</f>
        <v>Kindergarten</v>
      </c>
      <c r="B44" s="302" t="str">
        <f>'Kalk UHR KiGa Am Rain'!B44</f>
        <v>EG</v>
      </c>
      <c r="C44" s="302" t="str">
        <f>IF('Kalk UHR KiGa Am Rain'!C44="","",'Kalk UHR KiGa Am Rain'!C44)</f>
        <v/>
      </c>
      <c r="D44" s="302" t="str">
        <f>'Kalk UHR KiGa Am Rain'!D44</f>
        <v>Intensivraum 3</v>
      </c>
      <c r="E44" s="302" t="str">
        <f>'Kalk UHR KiGa Am Rain'!E44</f>
        <v>Lino</v>
      </c>
      <c r="F44" s="228" t="str">
        <f>'Kalk UHR KiGa Am Rain'!F44</f>
        <v>G1-W5</v>
      </c>
      <c r="G44" s="228" t="str">
        <f t="shared" si="0"/>
        <v>G1-J0,5</v>
      </c>
      <c r="H44" s="127">
        <f>'Kalk UHR KiGa Am Rain'!G44</f>
        <v>20.28</v>
      </c>
      <c r="I44" s="97" t="s">
        <v>909</v>
      </c>
      <c r="J44" s="328">
        <f>VLOOKUP(I44,Turnus!$H$9:$I$26,2,FALSE)</f>
        <v>0.5</v>
      </c>
      <c r="K44" s="127">
        <f t="shared" si="7"/>
        <v>10.14</v>
      </c>
      <c r="L44" s="128">
        <f>VLOOKUP($G44,'Leistungswerte GR Kigas'!$C$6:$F$53,4,FALSE)</f>
        <v>0</v>
      </c>
      <c r="M44" s="129">
        <f t="shared" si="5"/>
        <v>0</v>
      </c>
      <c r="N44" s="129">
        <f t="shared" si="8"/>
        <v>0</v>
      </c>
      <c r="O44" s="547">
        <f t="shared" si="6"/>
        <v>0</v>
      </c>
      <c r="P44" s="130">
        <f t="shared" si="9"/>
        <v>0</v>
      </c>
      <c r="Q44" s="131">
        <f t="shared" si="10"/>
        <v>0</v>
      </c>
      <c r="R44" s="56"/>
    </row>
    <row r="45" spans="1:18" s="57" customFormat="1" ht="24.9" customHeight="1" x14ac:dyDescent="0.25">
      <c r="A45" s="302" t="str">
        <f>'Kalk UHR KiGa Am Rain'!A45</f>
        <v>Kindergarten</v>
      </c>
      <c r="B45" s="302" t="str">
        <f>'Kalk UHR KiGa Am Rain'!B45</f>
        <v>EG</v>
      </c>
      <c r="C45" s="302" t="str">
        <f>IF('Kalk UHR KiGa Am Rain'!C45="","",'Kalk UHR KiGa Am Rain'!C45)</f>
        <v/>
      </c>
      <c r="D45" s="302" t="str">
        <f>'Kalk UHR KiGa Am Rain'!D45</f>
        <v>Gruppenraum 3</v>
      </c>
      <c r="E45" s="302" t="str">
        <f>'Kalk UHR KiGa Am Rain'!E45</f>
        <v>Lino/Textil</v>
      </c>
      <c r="F45" s="228" t="str">
        <f>'Kalk UHR KiGa Am Rain'!F45</f>
        <v>G1-W5</v>
      </c>
      <c r="G45" s="228" t="str">
        <f t="shared" si="0"/>
        <v>G1-J0,5</v>
      </c>
      <c r="H45" s="127">
        <f>'Kalk UHR KiGa Am Rain'!G45</f>
        <v>52.15</v>
      </c>
      <c r="I45" s="97" t="s">
        <v>909</v>
      </c>
      <c r="J45" s="328">
        <f>VLOOKUP(I45,Turnus!$H$9:$I$26,2,FALSE)</f>
        <v>0.5</v>
      </c>
      <c r="K45" s="127">
        <f t="shared" si="7"/>
        <v>26.074999999999999</v>
      </c>
      <c r="L45" s="128">
        <f>VLOOKUP($G45,'Leistungswerte GR Kigas'!$C$6:$F$53,4,FALSE)</f>
        <v>0</v>
      </c>
      <c r="M45" s="129">
        <f t="shared" si="5"/>
        <v>0</v>
      </c>
      <c r="N45" s="129">
        <f t="shared" si="8"/>
        <v>0</v>
      </c>
      <c r="O45" s="547">
        <f t="shared" si="6"/>
        <v>0</v>
      </c>
      <c r="P45" s="130">
        <f t="shared" si="9"/>
        <v>0</v>
      </c>
      <c r="Q45" s="131">
        <f t="shared" si="10"/>
        <v>0</v>
      </c>
      <c r="R45" s="56"/>
    </row>
    <row r="46" spans="1:18" s="57" customFormat="1" ht="24.9" customHeight="1" x14ac:dyDescent="0.25">
      <c r="A46" s="302" t="str">
        <f>'Kalk UHR KiGa Am Rain'!A46</f>
        <v>Kindergarten</v>
      </c>
      <c r="B46" s="302" t="str">
        <f>'Kalk UHR KiGa Am Rain'!B46</f>
        <v>EG</v>
      </c>
      <c r="C46" s="302" t="str">
        <f>IF('Kalk UHR KiGa Am Rain'!C46="","",'Kalk UHR KiGa Am Rain'!C46)</f>
        <v/>
      </c>
      <c r="D46" s="302" t="str">
        <f>'Kalk UHR KiGa Am Rain'!D46</f>
        <v>Treppe zur Galerie</v>
      </c>
      <c r="E46" s="302" t="str">
        <f>'Kalk UHR KiGa Am Rain'!E46</f>
        <v>Holz</v>
      </c>
      <c r="F46" s="228" t="str">
        <f>'Kalk UHR KiGa Am Rain'!F46</f>
        <v>F3-W5</v>
      </c>
      <c r="G46" s="228" t="str">
        <f t="shared" si="0"/>
        <v>F3-J0,5</v>
      </c>
      <c r="H46" s="127">
        <f>'Kalk UHR KiGa Am Rain'!G46</f>
        <v>6.5</v>
      </c>
      <c r="I46" s="97" t="s">
        <v>909</v>
      </c>
      <c r="J46" s="328">
        <f>VLOOKUP(I46,Turnus!$H$9:$I$26,2,FALSE)</f>
        <v>0.5</v>
      </c>
      <c r="K46" s="127">
        <f t="shared" si="7"/>
        <v>3.25</v>
      </c>
      <c r="L46" s="128">
        <f>VLOOKUP($G46,'Leistungswerte GR Kigas'!$C$6:$F$53,4,FALSE)</f>
        <v>0</v>
      </c>
      <c r="M46" s="129">
        <f t="shared" si="5"/>
        <v>0</v>
      </c>
      <c r="N46" s="129">
        <f t="shared" si="8"/>
        <v>0</v>
      </c>
      <c r="O46" s="547">
        <f t="shared" si="6"/>
        <v>0</v>
      </c>
      <c r="P46" s="130">
        <f t="shared" si="9"/>
        <v>0</v>
      </c>
      <c r="Q46" s="131">
        <f t="shared" si="10"/>
        <v>0</v>
      </c>
      <c r="R46" s="56"/>
    </row>
    <row r="47" spans="1:18" s="57" customFormat="1" ht="24.6" customHeight="1" x14ac:dyDescent="0.25">
      <c r="A47" s="302" t="str">
        <f>'Kalk UHR KiGa Am Rain'!A47</f>
        <v>Kindergarten</v>
      </c>
      <c r="B47" s="302" t="str">
        <f>'Kalk UHR KiGa Am Rain'!B47</f>
        <v>EG</v>
      </c>
      <c r="C47" s="302" t="str">
        <f>IF('Kalk UHR KiGa Am Rain'!C47="","",'Kalk UHR KiGa Am Rain'!C47)</f>
        <v/>
      </c>
      <c r="D47" s="302" t="str">
        <f>'Kalk UHR KiGa Am Rain'!D47</f>
        <v>Abstellraum 3</v>
      </c>
      <c r="E47" s="302" t="str">
        <f>'Kalk UHR KiGa Am Rain'!E47</f>
        <v>Lino</v>
      </c>
      <c r="F47" s="228" t="str">
        <f>'Kalk UHR KiGa Am Rain'!F47</f>
        <v>L1-W5</v>
      </c>
      <c r="G47" s="228" t="str">
        <f t="shared" si="0"/>
        <v>L1-J0,5</v>
      </c>
      <c r="H47" s="127">
        <f>'Kalk UHR KiGa Am Rain'!G47</f>
        <v>7.76</v>
      </c>
      <c r="I47" s="97" t="s">
        <v>909</v>
      </c>
      <c r="J47" s="328">
        <f>VLOOKUP(I47,Turnus!$H$9:$I$26,2,FALSE)</f>
        <v>0.5</v>
      </c>
      <c r="K47" s="127">
        <f t="shared" si="7"/>
        <v>3.88</v>
      </c>
      <c r="L47" s="128">
        <f>VLOOKUP($G47,'Leistungswerte GR Kigas'!$C$6:$F$53,4,FALSE)</f>
        <v>0</v>
      </c>
      <c r="M47" s="129">
        <f t="shared" si="5"/>
        <v>0</v>
      </c>
      <c r="N47" s="129">
        <f t="shared" si="8"/>
        <v>0</v>
      </c>
      <c r="O47" s="547">
        <f t="shared" si="6"/>
        <v>0</v>
      </c>
      <c r="P47" s="130">
        <f t="shared" si="9"/>
        <v>0</v>
      </c>
      <c r="Q47" s="131">
        <f t="shared" si="10"/>
        <v>0</v>
      </c>
      <c r="R47" s="56"/>
    </row>
    <row r="48" spans="1:18" s="57" customFormat="1" ht="24.9" customHeight="1" x14ac:dyDescent="0.25">
      <c r="A48" s="302" t="str">
        <f>'Kalk UHR KiGa Am Rain'!A48</f>
        <v>Kindergarten</v>
      </c>
      <c r="B48" s="302" t="str">
        <f>'Kalk UHR KiGa Am Rain'!B48</f>
        <v>EG</v>
      </c>
      <c r="C48" s="302" t="str">
        <f>IF('Kalk UHR KiGa Am Rain'!C48="","",'Kalk UHR KiGa Am Rain'!C48)</f>
        <v/>
      </c>
      <c r="D48" s="302" t="str">
        <f>'Kalk UHR KiGa Am Rain'!D48</f>
        <v>Gruppenraum 2</v>
      </c>
      <c r="E48" s="302" t="str">
        <f>'Kalk UHR KiGa Am Rain'!E48</f>
        <v>Lino/Textil</v>
      </c>
      <c r="F48" s="228" t="str">
        <f>'Kalk UHR KiGa Am Rain'!F48</f>
        <v>G1-W5</v>
      </c>
      <c r="G48" s="228" t="str">
        <f t="shared" si="0"/>
        <v>G1-J0,5</v>
      </c>
      <c r="H48" s="127">
        <f>'Kalk UHR KiGa Am Rain'!G48</f>
        <v>52.15</v>
      </c>
      <c r="I48" s="97" t="s">
        <v>909</v>
      </c>
      <c r="J48" s="328">
        <f>VLOOKUP(I48,Turnus!$H$9:$I$26,2,FALSE)</f>
        <v>0.5</v>
      </c>
      <c r="K48" s="127">
        <f t="shared" si="7"/>
        <v>26.074999999999999</v>
      </c>
      <c r="L48" s="128">
        <f>VLOOKUP($G48,'Leistungswerte GR Kigas'!$C$6:$F$53,4,FALSE)</f>
        <v>0</v>
      </c>
      <c r="M48" s="129">
        <f t="shared" si="5"/>
        <v>0</v>
      </c>
      <c r="N48" s="129">
        <f t="shared" si="8"/>
        <v>0</v>
      </c>
      <c r="O48" s="547">
        <f t="shared" si="6"/>
        <v>0</v>
      </c>
      <c r="P48" s="130">
        <f t="shared" si="9"/>
        <v>0</v>
      </c>
      <c r="Q48" s="131">
        <f t="shared" si="10"/>
        <v>0</v>
      </c>
      <c r="R48" s="56"/>
    </row>
    <row r="49" spans="1:18" s="57" customFormat="1" ht="24.9" customHeight="1" x14ac:dyDescent="0.25">
      <c r="A49" s="302" t="str">
        <f>'Kalk UHR KiGa Am Rain'!A49</f>
        <v>Kindergarten</v>
      </c>
      <c r="B49" s="302" t="str">
        <f>'Kalk UHR KiGa Am Rain'!B49</f>
        <v>EG</v>
      </c>
      <c r="C49" s="302" t="str">
        <f>IF('Kalk UHR KiGa Am Rain'!C49="","",'Kalk UHR KiGa Am Rain'!C49)</f>
        <v/>
      </c>
      <c r="D49" s="302" t="str">
        <f>'Kalk UHR KiGa Am Rain'!D49</f>
        <v>Treppe zur Galerie</v>
      </c>
      <c r="E49" s="302" t="str">
        <f>'Kalk UHR KiGa Am Rain'!E49</f>
        <v>Holz</v>
      </c>
      <c r="F49" s="228" t="str">
        <f>'Kalk UHR KiGa Am Rain'!F49</f>
        <v>F3-W5</v>
      </c>
      <c r="G49" s="228" t="str">
        <f t="shared" si="0"/>
        <v>F3-J0,5</v>
      </c>
      <c r="H49" s="127">
        <f>'Kalk UHR KiGa Am Rain'!G49</f>
        <v>6.5</v>
      </c>
      <c r="I49" s="97" t="s">
        <v>909</v>
      </c>
      <c r="J49" s="328">
        <f>VLOOKUP(I49,Turnus!$H$9:$I$26,2,FALSE)</f>
        <v>0.5</v>
      </c>
      <c r="K49" s="127">
        <f t="shared" si="7"/>
        <v>3.25</v>
      </c>
      <c r="L49" s="128">
        <f>VLOOKUP($G49,'Leistungswerte GR Kigas'!$C$6:$F$53,4,FALSE)</f>
        <v>0</v>
      </c>
      <c r="M49" s="129">
        <f t="shared" si="5"/>
        <v>0</v>
      </c>
      <c r="N49" s="129">
        <f t="shared" si="8"/>
        <v>0</v>
      </c>
      <c r="O49" s="547">
        <f t="shared" si="6"/>
        <v>0</v>
      </c>
      <c r="P49" s="130">
        <f t="shared" si="9"/>
        <v>0</v>
      </c>
      <c r="Q49" s="131">
        <f t="shared" si="10"/>
        <v>0</v>
      </c>
      <c r="R49" s="56"/>
    </row>
    <row r="50" spans="1:18" s="57" customFormat="1" ht="24.9" customHeight="1" x14ac:dyDescent="0.25">
      <c r="A50" s="302" t="str">
        <f>'Kalk UHR KiGa Am Rain'!A50</f>
        <v>Kindergarten</v>
      </c>
      <c r="B50" s="302" t="str">
        <f>'Kalk UHR KiGa Am Rain'!B50</f>
        <v>EG</v>
      </c>
      <c r="C50" s="302" t="str">
        <f>IF('Kalk UHR KiGa Am Rain'!C50="","",'Kalk UHR KiGa Am Rain'!C50)</f>
        <v/>
      </c>
      <c r="D50" s="302" t="str">
        <f>'Kalk UHR KiGa Am Rain'!D50</f>
        <v>Abstellraum 2</v>
      </c>
      <c r="E50" s="302" t="str">
        <f>'Kalk UHR KiGa Am Rain'!E50</f>
        <v>Lino</v>
      </c>
      <c r="F50" s="228" t="str">
        <f>'Kalk UHR KiGa Am Rain'!F50</f>
        <v>L1-W5</v>
      </c>
      <c r="G50" s="228" t="str">
        <f t="shared" si="0"/>
        <v>L1-J0,5</v>
      </c>
      <c r="H50" s="127">
        <f>'Kalk UHR KiGa Am Rain'!G50</f>
        <v>7.76</v>
      </c>
      <c r="I50" s="97" t="s">
        <v>909</v>
      </c>
      <c r="J50" s="328">
        <f>VLOOKUP(I50,Turnus!$H$9:$I$26,2,FALSE)</f>
        <v>0.5</v>
      </c>
      <c r="K50" s="127">
        <f t="shared" si="7"/>
        <v>3.88</v>
      </c>
      <c r="L50" s="128">
        <f>VLOOKUP($G50,'Leistungswerte GR Kigas'!$C$6:$F$53,4,FALSE)</f>
        <v>0</v>
      </c>
      <c r="M50" s="129">
        <f t="shared" si="5"/>
        <v>0</v>
      </c>
      <c r="N50" s="129">
        <f t="shared" si="8"/>
        <v>0</v>
      </c>
      <c r="O50" s="547">
        <f t="shared" si="6"/>
        <v>0</v>
      </c>
      <c r="P50" s="130">
        <f t="shared" si="9"/>
        <v>0</v>
      </c>
      <c r="Q50" s="131">
        <f t="shared" si="10"/>
        <v>0</v>
      </c>
      <c r="R50" s="56"/>
    </row>
    <row r="51" spans="1:18" s="57" customFormat="1" ht="24.9" customHeight="1" x14ac:dyDescent="0.25">
      <c r="A51" s="302" t="str">
        <f>'Kalk UHR KiGa Am Rain'!A51</f>
        <v>Kindergarten</v>
      </c>
      <c r="B51" s="302" t="str">
        <f>'Kalk UHR KiGa Am Rain'!B51</f>
        <v>EG</v>
      </c>
      <c r="C51" s="302" t="str">
        <f>IF('Kalk UHR KiGa Am Rain'!C51="","",'Kalk UHR KiGa Am Rain'!C51)</f>
        <v/>
      </c>
      <c r="D51" s="302" t="str">
        <f>'Kalk UHR KiGa Am Rain'!D51</f>
        <v>Geräte</v>
      </c>
      <c r="E51" s="302" t="str">
        <f>'Kalk UHR KiGa Am Rain'!E51</f>
        <v>Lino</v>
      </c>
      <c r="F51" s="228" t="str">
        <f>'Kalk UHR KiGa Am Rain'!F51</f>
        <v>L1-W5</v>
      </c>
      <c r="G51" s="228" t="str">
        <f t="shared" si="0"/>
        <v>L1-J0,5</v>
      </c>
      <c r="H51" s="127">
        <f>'Kalk UHR KiGa Am Rain'!G51</f>
        <v>10.72</v>
      </c>
      <c r="I51" s="97" t="s">
        <v>909</v>
      </c>
      <c r="J51" s="328">
        <f>VLOOKUP(I51,Turnus!$H$9:$I$26,2,FALSE)</f>
        <v>0.5</v>
      </c>
      <c r="K51" s="127">
        <f t="shared" si="7"/>
        <v>5.36</v>
      </c>
      <c r="L51" s="128">
        <f>VLOOKUP($G51,'Leistungswerte GR Kigas'!$C$6:$F$53,4,FALSE)</f>
        <v>0</v>
      </c>
      <c r="M51" s="129">
        <f t="shared" si="5"/>
        <v>0</v>
      </c>
      <c r="N51" s="129">
        <f t="shared" si="8"/>
        <v>0</v>
      </c>
      <c r="O51" s="547">
        <f t="shared" si="6"/>
        <v>0</v>
      </c>
      <c r="P51" s="130">
        <f t="shared" si="9"/>
        <v>0</v>
      </c>
      <c r="Q51" s="131">
        <f t="shared" si="10"/>
        <v>0</v>
      </c>
      <c r="R51" s="56"/>
    </row>
    <row r="52" spans="1:18" s="57" customFormat="1" ht="24.9" customHeight="1" x14ac:dyDescent="0.25">
      <c r="A52" s="302" t="str">
        <f>'Kalk UHR KiGa Am Rain'!A52</f>
        <v>Kindergarten</v>
      </c>
      <c r="B52" s="302" t="str">
        <f>'Kalk UHR KiGa Am Rain'!B52</f>
        <v>EG</v>
      </c>
      <c r="C52" s="302" t="str">
        <f>IF('Kalk UHR KiGa Am Rain'!C52="","",'Kalk UHR KiGa Am Rain'!C52)</f>
        <v/>
      </c>
      <c r="D52" s="302" t="str">
        <f>'Kalk UHR KiGa Am Rain'!D52</f>
        <v>Mehrzweckraum</v>
      </c>
      <c r="E52" s="302" t="str">
        <f>'Kalk UHR KiGa Am Rain'!E52</f>
        <v>Lino</v>
      </c>
      <c r="F52" s="228" t="str">
        <f>'Kalk UHR KiGa Am Rain'!F52</f>
        <v>G1-W5</v>
      </c>
      <c r="G52" s="228" t="str">
        <f t="shared" si="0"/>
        <v>G1-J0,5</v>
      </c>
      <c r="H52" s="127">
        <f>'Kalk UHR KiGa Am Rain'!G52</f>
        <v>63.93</v>
      </c>
      <c r="I52" s="97" t="s">
        <v>909</v>
      </c>
      <c r="J52" s="328">
        <f>VLOOKUP(I52,Turnus!$H$9:$I$26,2,FALSE)</f>
        <v>0.5</v>
      </c>
      <c r="K52" s="127">
        <f t="shared" si="7"/>
        <v>31.965</v>
      </c>
      <c r="L52" s="128">
        <f>VLOOKUP($G52,'Leistungswerte GR Kigas'!$C$6:$F$53,4,FALSE)</f>
        <v>0</v>
      </c>
      <c r="M52" s="129">
        <f t="shared" si="5"/>
        <v>0</v>
      </c>
      <c r="N52" s="129">
        <f t="shared" si="8"/>
        <v>0</v>
      </c>
      <c r="O52" s="547">
        <f t="shared" si="6"/>
        <v>0</v>
      </c>
      <c r="P52" s="130">
        <f t="shared" si="9"/>
        <v>0</v>
      </c>
      <c r="Q52" s="131">
        <f t="shared" si="10"/>
        <v>0</v>
      </c>
      <c r="R52" s="56"/>
    </row>
    <row r="53" spans="1:18" s="57" customFormat="1" ht="24.9" customHeight="1" x14ac:dyDescent="0.25">
      <c r="A53" s="302" t="str">
        <f>'Kalk UHR KiGa Am Rain'!A53</f>
        <v>Kindergarten</v>
      </c>
      <c r="B53" s="302" t="str">
        <f>'Kalk UHR KiGa Am Rain'!B53</f>
        <v>EG</v>
      </c>
      <c r="C53" s="302" t="str">
        <f>IF('Kalk UHR KiGa Am Rain'!C53="","",'Kalk UHR KiGa Am Rain'!C53)</f>
        <v/>
      </c>
      <c r="D53" s="302" t="str">
        <f>'Kalk UHR KiGa Am Rain'!D53</f>
        <v>Treppe zur Galerie</v>
      </c>
      <c r="E53" s="302" t="str">
        <f>'Kalk UHR KiGa Am Rain'!E53</f>
        <v>Holz</v>
      </c>
      <c r="F53" s="228" t="str">
        <f>'Kalk UHR KiGa Am Rain'!F53</f>
        <v>F3-W5</v>
      </c>
      <c r="G53" s="228" t="str">
        <f t="shared" si="0"/>
        <v>F3-J0,5</v>
      </c>
      <c r="H53" s="127">
        <f>'Kalk UHR KiGa Am Rain'!G53</f>
        <v>9</v>
      </c>
      <c r="I53" s="97" t="s">
        <v>909</v>
      </c>
      <c r="J53" s="328">
        <f>VLOOKUP(I53,Turnus!$H$9:$I$26,2,FALSE)</f>
        <v>0.5</v>
      </c>
      <c r="K53" s="127">
        <f t="shared" si="7"/>
        <v>4.5</v>
      </c>
      <c r="L53" s="128">
        <f>VLOOKUP($G53,'Leistungswerte GR Kigas'!$C$6:$F$53,4,FALSE)</f>
        <v>0</v>
      </c>
      <c r="M53" s="129">
        <f t="shared" si="5"/>
        <v>0</v>
      </c>
      <c r="N53" s="129">
        <f t="shared" si="8"/>
        <v>0</v>
      </c>
      <c r="O53" s="547">
        <f t="shared" si="6"/>
        <v>0</v>
      </c>
      <c r="P53" s="130">
        <f t="shared" si="9"/>
        <v>0</v>
      </c>
      <c r="Q53" s="131">
        <f t="shared" si="10"/>
        <v>0</v>
      </c>
      <c r="R53" s="56"/>
    </row>
    <row r="54" spans="1:18" s="57" customFormat="1" ht="24.9" customHeight="1" x14ac:dyDescent="0.25">
      <c r="A54" s="302" t="str">
        <f>'Kalk UHR KiGa Am Rain'!A54</f>
        <v>Kindergarten</v>
      </c>
      <c r="B54" s="302" t="str">
        <f>'Kalk UHR KiGa Am Rain'!B54</f>
        <v>EG</v>
      </c>
      <c r="C54" s="302" t="str">
        <f>IF('Kalk UHR KiGa Am Rain'!C54="","",'Kalk UHR KiGa Am Rain'!C54)</f>
        <v/>
      </c>
      <c r="D54" s="302" t="str">
        <f>'Kalk UHR KiGa Am Rain'!D54</f>
        <v>Garderobe 1</v>
      </c>
      <c r="E54" s="302" t="str">
        <f>'Kalk UHR KiGa Am Rain'!E54</f>
        <v>Steinzeug/Fliesen</v>
      </c>
      <c r="F54" s="228" t="str">
        <f>'Kalk UHR KiGa Am Rain'!F54</f>
        <v>H1-W5</v>
      </c>
      <c r="G54" s="228" t="str">
        <f t="shared" si="0"/>
        <v>H1-J0,5</v>
      </c>
      <c r="H54" s="127">
        <f>'Kalk UHR KiGa Am Rain'!G54</f>
        <v>8.91</v>
      </c>
      <c r="I54" s="97" t="s">
        <v>909</v>
      </c>
      <c r="J54" s="328">
        <f>VLOOKUP(I54,Turnus!$H$9:$I$26,2,FALSE)</f>
        <v>0.5</v>
      </c>
      <c r="K54" s="127">
        <f t="shared" si="7"/>
        <v>4.4550000000000001</v>
      </c>
      <c r="L54" s="128">
        <f>VLOOKUP($G54,'Leistungswerte GR Kigas'!$C$6:$F$53,4,FALSE)</f>
        <v>0</v>
      </c>
      <c r="M54" s="129">
        <f t="shared" si="5"/>
        <v>0</v>
      </c>
      <c r="N54" s="129">
        <f t="shared" si="8"/>
        <v>0</v>
      </c>
      <c r="O54" s="547">
        <f t="shared" si="6"/>
        <v>0</v>
      </c>
      <c r="P54" s="130">
        <f t="shared" si="9"/>
        <v>0</v>
      </c>
      <c r="Q54" s="131">
        <f t="shared" si="10"/>
        <v>0</v>
      </c>
      <c r="R54" s="56"/>
    </row>
    <row r="55" spans="1:18" s="57" customFormat="1" ht="24.9" customHeight="1" x14ac:dyDescent="0.25">
      <c r="A55" s="302" t="str">
        <f>'Kalk UHR KiGa Am Rain'!A55</f>
        <v>Kindergarten</v>
      </c>
      <c r="B55" s="302" t="str">
        <f>'Kalk UHR KiGa Am Rain'!B55</f>
        <v>EG</v>
      </c>
      <c r="C55" s="302" t="str">
        <f>IF('Kalk UHR KiGa Am Rain'!C55="","",'Kalk UHR KiGa Am Rain'!C55)</f>
        <v/>
      </c>
      <c r="D55" s="302" t="str">
        <f>'Kalk UHR KiGa Am Rain'!D55</f>
        <v xml:space="preserve">Intensivraum 1 </v>
      </c>
      <c r="E55" s="302" t="str">
        <f>'Kalk UHR KiGa Am Rain'!E55</f>
        <v>Lino</v>
      </c>
      <c r="F55" s="228" t="str">
        <f>'Kalk UHR KiGa Am Rain'!F55</f>
        <v>G1-W5</v>
      </c>
      <c r="G55" s="228" t="str">
        <f t="shared" si="0"/>
        <v>G1-J0,5</v>
      </c>
      <c r="H55" s="127">
        <f>'Kalk UHR KiGa Am Rain'!G55</f>
        <v>18.77</v>
      </c>
      <c r="I55" s="97" t="s">
        <v>909</v>
      </c>
      <c r="J55" s="328">
        <f>VLOOKUP(I55,Turnus!$H$9:$I$26,2,FALSE)</f>
        <v>0.5</v>
      </c>
      <c r="K55" s="127">
        <f t="shared" si="1"/>
        <v>9.3849999999999998</v>
      </c>
      <c r="L55" s="128">
        <f>VLOOKUP($G55,'Leistungswerte GR Kigas'!$C$6:$F$53,4,FALSE)</f>
        <v>0</v>
      </c>
      <c r="M55" s="129">
        <f t="shared" si="5"/>
        <v>0</v>
      </c>
      <c r="N55" s="129">
        <f t="shared" si="2"/>
        <v>0</v>
      </c>
      <c r="O55" s="547">
        <f t="shared" si="6"/>
        <v>0</v>
      </c>
      <c r="P55" s="130">
        <f t="shared" si="3"/>
        <v>0</v>
      </c>
      <c r="Q55" s="131">
        <f t="shared" si="4"/>
        <v>0</v>
      </c>
      <c r="R55" s="56"/>
    </row>
    <row r="56" spans="1:18" s="57" customFormat="1" ht="24.9" customHeight="1" x14ac:dyDescent="0.25">
      <c r="A56" s="302" t="str">
        <f>'Kalk UHR KiGa Am Rain'!A56</f>
        <v>Kindergarten</v>
      </c>
      <c r="B56" s="302" t="str">
        <f>'Kalk UHR KiGa Am Rain'!B56</f>
        <v>EG</v>
      </c>
      <c r="C56" s="302" t="str">
        <f>IF('Kalk UHR KiGa Am Rain'!C56="","",'Kalk UHR KiGa Am Rain'!C56)</f>
        <v/>
      </c>
      <c r="D56" s="302" t="str">
        <f>'Kalk UHR KiGa Am Rain'!D56</f>
        <v>Gruppenraum 1</v>
      </c>
      <c r="E56" s="302" t="str">
        <f>'Kalk UHR KiGa Am Rain'!E56</f>
        <v>Lino/Textil</v>
      </c>
      <c r="F56" s="228" t="str">
        <f>'Kalk UHR KiGa Am Rain'!F56</f>
        <v>G1-W5</v>
      </c>
      <c r="G56" s="228" t="str">
        <f t="shared" si="0"/>
        <v>G1-J0,5</v>
      </c>
      <c r="H56" s="127">
        <f>'Kalk UHR KiGa Am Rain'!G56</f>
        <v>52.15</v>
      </c>
      <c r="I56" s="97" t="s">
        <v>909</v>
      </c>
      <c r="J56" s="328">
        <f>VLOOKUP(I56,Turnus!$H$9:$I$26,2,FALSE)</f>
        <v>0.5</v>
      </c>
      <c r="K56" s="127">
        <f t="shared" si="1"/>
        <v>26.074999999999999</v>
      </c>
      <c r="L56" s="128">
        <f>VLOOKUP($G56,'Leistungswerte GR Kigas'!$C$6:$F$53,4,FALSE)</f>
        <v>0</v>
      </c>
      <c r="M56" s="129">
        <f t="shared" si="5"/>
        <v>0</v>
      </c>
      <c r="N56" s="129">
        <f t="shared" si="2"/>
        <v>0</v>
      </c>
      <c r="O56" s="547">
        <f t="shared" si="6"/>
        <v>0</v>
      </c>
      <c r="P56" s="130">
        <f t="shared" si="3"/>
        <v>0</v>
      </c>
      <c r="Q56" s="131">
        <f t="shared" si="4"/>
        <v>0</v>
      </c>
      <c r="R56" s="56"/>
    </row>
    <row r="57" spans="1:18" s="57" customFormat="1" ht="24.9" customHeight="1" x14ac:dyDescent="0.25">
      <c r="A57" s="302" t="str">
        <f>'Kalk UHR KiGa Am Rain'!A57</f>
        <v>Kindergarten</v>
      </c>
      <c r="B57" s="302" t="str">
        <f>'Kalk UHR KiGa Am Rain'!B57</f>
        <v>EG</v>
      </c>
      <c r="C57" s="302" t="str">
        <f>IF('Kalk UHR KiGa Am Rain'!C57="","",'Kalk UHR KiGa Am Rain'!C57)</f>
        <v/>
      </c>
      <c r="D57" s="302" t="str">
        <f>'Kalk UHR KiGa Am Rain'!D57</f>
        <v>Treppe zur Galerie</v>
      </c>
      <c r="E57" s="302" t="str">
        <f>'Kalk UHR KiGa Am Rain'!E57</f>
        <v>Holz</v>
      </c>
      <c r="F57" s="228" t="str">
        <f>'Kalk UHR KiGa Am Rain'!F57</f>
        <v>F3-W5</v>
      </c>
      <c r="G57" s="228" t="str">
        <f t="shared" si="0"/>
        <v>F3-J0,5</v>
      </c>
      <c r="H57" s="127">
        <f>'Kalk UHR KiGa Am Rain'!G57</f>
        <v>6.5</v>
      </c>
      <c r="I57" s="97" t="s">
        <v>909</v>
      </c>
      <c r="J57" s="328">
        <f>VLOOKUP(I57,Turnus!$H$9:$I$26,2,FALSE)</f>
        <v>0.5</v>
      </c>
      <c r="K57" s="127">
        <f t="shared" si="1"/>
        <v>3.25</v>
      </c>
      <c r="L57" s="128">
        <f>VLOOKUP($G57,'Leistungswerte GR Kigas'!$C$6:$F$53,4,FALSE)</f>
        <v>0</v>
      </c>
      <c r="M57" s="129">
        <f t="shared" si="5"/>
        <v>0</v>
      </c>
      <c r="N57" s="129">
        <f t="shared" si="2"/>
        <v>0</v>
      </c>
      <c r="O57" s="547">
        <f t="shared" si="6"/>
        <v>0</v>
      </c>
      <c r="P57" s="130">
        <f t="shared" si="3"/>
        <v>0</v>
      </c>
      <c r="Q57" s="131">
        <f t="shared" si="4"/>
        <v>0</v>
      </c>
      <c r="R57" s="56"/>
    </row>
    <row r="58" spans="1:18" s="57" customFormat="1" ht="24.9" customHeight="1" x14ac:dyDescent="0.25">
      <c r="A58" s="302" t="str">
        <f>'Kalk UHR KiGa Am Rain'!A58</f>
        <v>Kindergarten</v>
      </c>
      <c r="B58" s="302" t="str">
        <f>'Kalk UHR KiGa Am Rain'!B58</f>
        <v>EG</v>
      </c>
      <c r="C58" s="302" t="str">
        <f>IF('Kalk UHR KiGa Am Rain'!C58="","",'Kalk UHR KiGa Am Rain'!C58)</f>
        <v/>
      </c>
      <c r="D58" s="302" t="str">
        <f>'Kalk UHR KiGa Am Rain'!D58</f>
        <v>Abstellraum 1</v>
      </c>
      <c r="E58" s="302" t="str">
        <f>'Kalk UHR KiGa Am Rain'!E58</f>
        <v>Lino</v>
      </c>
      <c r="F58" s="228" t="str">
        <f>'Kalk UHR KiGa Am Rain'!F58</f>
        <v>L1-W5</v>
      </c>
      <c r="G58" s="228" t="str">
        <f t="shared" si="0"/>
        <v>L1-J0,5</v>
      </c>
      <c r="H58" s="127">
        <f>'Kalk UHR KiGa Am Rain'!G58</f>
        <v>7.76</v>
      </c>
      <c r="I58" s="97" t="s">
        <v>909</v>
      </c>
      <c r="J58" s="328">
        <f>VLOOKUP(I58,Turnus!$H$9:$I$26,2,FALSE)</f>
        <v>0.5</v>
      </c>
      <c r="K58" s="127">
        <f t="shared" ref="K58:K67" si="11">+H58*J58</f>
        <v>3.88</v>
      </c>
      <c r="L58" s="128">
        <f>VLOOKUP($G58,'Leistungswerte GR Kigas'!$C$6:$F$53,4,FALSE)</f>
        <v>0</v>
      </c>
      <c r="M58" s="129">
        <f t="shared" si="5"/>
        <v>0</v>
      </c>
      <c r="N58" s="129">
        <f t="shared" ref="N58:N67" si="12">IF(ISERROR(K58/L58),0,K58/L58)</f>
        <v>0</v>
      </c>
      <c r="O58" s="547">
        <f t="shared" si="6"/>
        <v>0</v>
      </c>
      <c r="P58" s="130">
        <f t="shared" ref="P58:P67" si="13">IF(ISERROR(H58/L58*O58),0,H58/L58*O58)</f>
        <v>0</v>
      </c>
      <c r="Q58" s="131">
        <f t="shared" ref="Q58:Q67" si="14">+N58*O58</f>
        <v>0</v>
      </c>
      <c r="R58" s="56"/>
    </row>
    <row r="59" spans="1:18" s="57" customFormat="1" ht="24.9" customHeight="1" x14ac:dyDescent="0.25">
      <c r="A59" s="302" t="str">
        <f>'Kalk UHR KiGa Am Rain'!A59</f>
        <v>Kindergarten</v>
      </c>
      <c r="B59" s="302" t="str">
        <f>'Kalk UHR KiGa Am Rain'!B59</f>
        <v>EG</v>
      </c>
      <c r="C59" s="302" t="str">
        <f>IF('Kalk UHR KiGa Am Rain'!C59="","",'Kalk UHR KiGa Am Rain'!C59)</f>
        <v/>
      </c>
      <c r="D59" s="302" t="str">
        <f>'Kalk UHR KiGa Am Rain'!D59</f>
        <v>WC Behinderte + Dusche</v>
      </c>
      <c r="E59" s="302" t="str">
        <f>'Kalk UHR KiGa Am Rain'!E59</f>
        <v>Steinzeug/Fliesen</v>
      </c>
      <c r="F59" s="228" t="str">
        <f>'Kalk UHR KiGa Am Rain'!F59</f>
        <v>S1-W5</v>
      </c>
      <c r="G59" s="228" t="str">
        <f t="shared" si="0"/>
        <v>S1-J1</v>
      </c>
      <c r="H59" s="127">
        <f>'Kalk UHR KiGa Am Rain'!G59</f>
        <v>8.02</v>
      </c>
      <c r="I59" s="97" t="s">
        <v>54</v>
      </c>
      <c r="J59" s="328">
        <f>VLOOKUP(I59,Turnus!$H$9:$I$26,2,FALSE)</f>
        <v>1</v>
      </c>
      <c r="K59" s="127">
        <f t="shared" si="11"/>
        <v>8.02</v>
      </c>
      <c r="L59" s="128">
        <f>VLOOKUP($G59,'Leistungswerte GR Kigas'!$C$6:$F$53,4,FALSE)</f>
        <v>0</v>
      </c>
      <c r="M59" s="129">
        <f t="shared" si="5"/>
        <v>0</v>
      </c>
      <c r="N59" s="129">
        <f t="shared" si="12"/>
        <v>0</v>
      </c>
      <c r="O59" s="547">
        <f t="shared" si="6"/>
        <v>0</v>
      </c>
      <c r="P59" s="130">
        <f t="shared" si="13"/>
        <v>0</v>
      </c>
      <c r="Q59" s="131">
        <f t="shared" si="14"/>
        <v>0</v>
      </c>
      <c r="R59" s="309"/>
    </row>
    <row r="60" spans="1:18" s="57" customFormat="1" ht="24.6" customHeight="1" x14ac:dyDescent="0.25">
      <c r="A60" s="302" t="str">
        <f>'Kalk UHR KiGa Am Rain'!A60</f>
        <v>Kindergarten</v>
      </c>
      <c r="B60" s="302" t="str">
        <f>'Kalk UHR KiGa Am Rain'!B60</f>
        <v>EG</v>
      </c>
      <c r="C60" s="302" t="str">
        <f>IF('Kalk UHR KiGa Am Rain'!C60="","",'Kalk UHR KiGa Am Rain'!C60)</f>
        <v/>
      </c>
      <c r="D60" s="302" t="str">
        <f>'Kalk UHR KiGa Am Rain'!D60</f>
        <v>Waschraum 1</v>
      </c>
      <c r="E60" s="302" t="str">
        <f>'Kalk UHR KiGa Am Rain'!E60</f>
        <v>Steinzeug/Fliesen</v>
      </c>
      <c r="F60" s="228" t="str">
        <f>'Kalk UHR KiGa Am Rain'!F60</f>
        <v>S1-W5</v>
      </c>
      <c r="G60" s="228" t="str">
        <f t="shared" si="0"/>
        <v>S1-J1</v>
      </c>
      <c r="H60" s="127">
        <f>'Kalk UHR KiGa Am Rain'!G60</f>
        <v>9.2100000000000009</v>
      </c>
      <c r="I60" s="97" t="s">
        <v>54</v>
      </c>
      <c r="J60" s="328">
        <f>VLOOKUP(I60,Turnus!$H$9:$I$26,2,FALSE)</f>
        <v>1</v>
      </c>
      <c r="K60" s="127">
        <f t="shared" si="11"/>
        <v>9.2100000000000009</v>
      </c>
      <c r="L60" s="128">
        <f>VLOOKUP($G60,'Leistungswerte GR Kigas'!$C$6:$F$53,4,FALSE)</f>
        <v>0</v>
      </c>
      <c r="M60" s="129">
        <f t="shared" si="5"/>
        <v>0</v>
      </c>
      <c r="N60" s="129">
        <f t="shared" si="12"/>
        <v>0</v>
      </c>
      <c r="O60" s="547">
        <f t="shared" si="6"/>
        <v>0</v>
      </c>
      <c r="P60" s="130">
        <f t="shared" si="13"/>
        <v>0</v>
      </c>
      <c r="Q60" s="131">
        <f t="shared" si="14"/>
        <v>0</v>
      </c>
    </row>
    <row r="61" spans="1:18" s="57" customFormat="1" ht="24.9" customHeight="1" x14ac:dyDescent="0.25">
      <c r="A61" s="302" t="str">
        <f>'Kalk UHR KiGa Am Rain'!A61</f>
        <v>Kindergarten</v>
      </c>
      <c r="B61" s="302" t="str">
        <f>'Kalk UHR KiGa Am Rain'!B61</f>
        <v>EG</v>
      </c>
      <c r="C61" s="302" t="str">
        <f>IF('Kalk UHR KiGa Am Rain'!C61="","",'Kalk UHR KiGa Am Rain'!C61)</f>
        <v/>
      </c>
      <c r="D61" s="302" t="str">
        <f>'Kalk UHR KiGa Am Rain'!D61</f>
        <v>Büro Leitung</v>
      </c>
      <c r="E61" s="302" t="str">
        <f>'Kalk UHR KiGa Am Rain'!E61</f>
        <v>Lino</v>
      </c>
      <c r="F61" s="228" t="str">
        <f>'Kalk UHR KiGa Am Rain'!F61</f>
        <v>B1-W3</v>
      </c>
      <c r="G61" s="228" t="str">
        <f t="shared" si="0"/>
        <v>B1-J0,5</v>
      </c>
      <c r="H61" s="127">
        <f>'Kalk UHR KiGa Am Rain'!G61</f>
        <v>21.72</v>
      </c>
      <c r="I61" s="97" t="s">
        <v>909</v>
      </c>
      <c r="J61" s="328">
        <f>VLOOKUP(I61,Turnus!$H$9:$I$26,2,FALSE)</f>
        <v>0.5</v>
      </c>
      <c r="K61" s="127">
        <f t="shared" si="11"/>
        <v>10.86</v>
      </c>
      <c r="L61" s="128">
        <f>VLOOKUP($G61,'Leistungswerte GR Kigas'!$C$6:$F$53,4,FALSE)</f>
        <v>0</v>
      </c>
      <c r="M61" s="129">
        <f t="shared" si="5"/>
        <v>0</v>
      </c>
      <c r="N61" s="129">
        <f t="shared" si="12"/>
        <v>0</v>
      </c>
      <c r="O61" s="547">
        <f t="shared" si="6"/>
        <v>0</v>
      </c>
      <c r="P61" s="130">
        <f t="shared" si="13"/>
        <v>0</v>
      </c>
      <c r="Q61" s="131">
        <f t="shared" si="14"/>
        <v>0</v>
      </c>
      <c r="R61" s="56"/>
    </row>
    <row r="62" spans="1:18" s="57" customFormat="1" ht="24.9" customHeight="1" x14ac:dyDescent="0.25">
      <c r="A62" s="302" t="str">
        <f>'Kalk UHR KiGa Am Rain'!A62</f>
        <v>Kindergarten</v>
      </c>
      <c r="B62" s="302" t="str">
        <f>'Kalk UHR KiGa Am Rain'!B62</f>
        <v>EG</v>
      </c>
      <c r="C62" s="302" t="str">
        <f>IF('Kalk UHR KiGa Am Rain'!C62="","",'Kalk UHR KiGa Am Rain'!C62)</f>
        <v/>
      </c>
      <c r="D62" s="302" t="str">
        <f>'Kalk UHR KiGa Am Rain'!D62</f>
        <v>Flur Personal</v>
      </c>
      <c r="E62" s="302" t="str">
        <f>'Kalk UHR KiGa Am Rain'!E62</f>
        <v>Lino</v>
      </c>
      <c r="F62" s="228" t="str">
        <f>'Kalk UHR KiGa Am Rain'!F62</f>
        <v>F1-W5</v>
      </c>
      <c r="G62" s="228" t="str">
        <f t="shared" si="0"/>
        <v>F1-J0,5</v>
      </c>
      <c r="H62" s="127">
        <f>'Kalk UHR KiGa Am Rain'!G62</f>
        <v>6.94</v>
      </c>
      <c r="I62" s="97" t="s">
        <v>909</v>
      </c>
      <c r="J62" s="328">
        <f>VLOOKUP(I62,Turnus!$H$9:$I$26,2,FALSE)</f>
        <v>0.5</v>
      </c>
      <c r="K62" s="127">
        <f t="shared" si="11"/>
        <v>3.47</v>
      </c>
      <c r="L62" s="128">
        <f>VLOOKUP($G62,'Leistungswerte GR Kigas'!$C$6:$F$53,4,FALSE)</f>
        <v>0</v>
      </c>
      <c r="M62" s="129">
        <f t="shared" si="5"/>
        <v>0</v>
      </c>
      <c r="N62" s="129">
        <f t="shared" si="12"/>
        <v>0</v>
      </c>
      <c r="O62" s="547">
        <f t="shared" si="6"/>
        <v>0</v>
      </c>
      <c r="P62" s="130">
        <f t="shared" si="13"/>
        <v>0</v>
      </c>
      <c r="Q62" s="131">
        <f t="shared" si="14"/>
        <v>0</v>
      </c>
      <c r="R62" s="56"/>
    </row>
    <row r="63" spans="1:18" s="57" customFormat="1" ht="24.9" customHeight="1" x14ac:dyDescent="0.25">
      <c r="A63" s="302" t="str">
        <f>'Kalk UHR KiGa Am Rain'!A63</f>
        <v>Kindergarten</v>
      </c>
      <c r="B63" s="302" t="str">
        <f>'Kalk UHR KiGa Am Rain'!B63</f>
        <v>EG</v>
      </c>
      <c r="C63" s="302" t="str">
        <f>IF('Kalk UHR KiGa Am Rain'!C63="","",'Kalk UHR KiGa Am Rain'!C63)</f>
        <v/>
      </c>
      <c r="D63" s="302" t="str">
        <f>'Kalk UHR KiGa Am Rain'!D63</f>
        <v>Personalaufenthalt</v>
      </c>
      <c r="E63" s="302" t="str">
        <f>'Kalk UHR KiGa Am Rain'!E63</f>
        <v>Lino</v>
      </c>
      <c r="F63" s="228" t="str">
        <f>'Kalk UHR KiGa Am Rain'!F63</f>
        <v>A1-W5</v>
      </c>
      <c r="G63" s="228" t="str">
        <f t="shared" si="0"/>
        <v>A1-J0,5</v>
      </c>
      <c r="H63" s="127">
        <f>'Kalk UHR KiGa Am Rain'!G63</f>
        <v>20.43</v>
      </c>
      <c r="I63" s="97" t="s">
        <v>909</v>
      </c>
      <c r="J63" s="328">
        <f>VLOOKUP(I63,Turnus!$H$9:$I$26,2,FALSE)</f>
        <v>0.5</v>
      </c>
      <c r="K63" s="127">
        <f t="shared" si="11"/>
        <v>10.215</v>
      </c>
      <c r="L63" s="128">
        <f>VLOOKUP($G63,'Leistungswerte GR Kigas'!$C$6:$F$53,4,FALSE)</f>
        <v>0</v>
      </c>
      <c r="M63" s="129">
        <f t="shared" si="5"/>
        <v>0</v>
      </c>
      <c r="N63" s="129">
        <f t="shared" si="12"/>
        <v>0</v>
      </c>
      <c r="O63" s="547">
        <f t="shared" si="6"/>
        <v>0</v>
      </c>
      <c r="P63" s="130">
        <f t="shared" si="13"/>
        <v>0</v>
      </c>
      <c r="Q63" s="131">
        <f t="shared" si="14"/>
        <v>0</v>
      </c>
      <c r="R63" s="56"/>
    </row>
    <row r="64" spans="1:18" s="57" customFormat="1" ht="24.9" customHeight="1" x14ac:dyDescent="0.25">
      <c r="A64" s="302" t="str">
        <f>'Kalk UHR KiGa Am Rain'!A64</f>
        <v>Kindergarten</v>
      </c>
      <c r="B64" s="302" t="str">
        <f>'Kalk UHR KiGa Am Rain'!B64</f>
        <v>EG</v>
      </c>
      <c r="C64" s="302" t="str">
        <f>IF('Kalk UHR KiGa Am Rain'!C64="","",'Kalk UHR KiGa Am Rain'!C64)</f>
        <v/>
      </c>
      <c r="D64" s="302" t="str">
        <f>'Kalk UHR KiGa Am Rain'!D64</f>
        <v>Garderobe</v>
      </c>
      <c r="E64" s="302" t="str">
        <f>'Kalk UHR KiGa Am Rain'!E64</f>
        <v>Lino</v>
      </c>
      <c r="F64" s="228" t="str">
        <f>'Kalk UHR KiGa Am Rain'!F64</f>
        <v>H1-W5</v>
      </c>
      <c r="G64" s="228" t="str">
        <f t="shared" si="0"/>
        <v>H1-J0,5</v>
      </c>
      <c r="H64" s="127">
        <f>'Kalk UHR KiGa Am Rain'!G64</f>
        <v>4.25</v>
      </c>
      <c r="I64" s="97" t="s">
        <v>909</v>
      </c>
      <c r="J64" s="328">
        <f>VLOOKUP(I64,Turnus!$H$9:$I$26,2,FALSE)</f>
        <v>0.5</v>
      </c>
      <c r="K64" s="127">
        <f t="shared" si="11"/>
        <v>2.125</v>
      </c>
      <c r="L64" s="128">
        <f>VLOOKUP($G64,'Leistungswerte GR Kigas'!$C$6:$F$53,4,FALSE)</f>
        <v>0</v>
      </c>
      <c r="M64" s="129">
        <f t="shared" si="5"/>
        <v>0</v>
      </c>
      <c r="N64" s="129">
        <f t="shared" si="12"/>
        <v>0</v>
      </c>
      <c r="O64" s="547">
        <f t="shared" si="6"/>
        <v>0</v>
      </c>
      <c r="P64" s="130">
        <f t="shared" si="13"/>
        <v>0</v>
      </c>
      <c r="Q64" s="131">
        <f t="shared" si="14"/>
        <v>0</v>
      </c>
      <c r="R64" s="56"/>
    </row>
    <row r="65" spans="1:18" s="57" customFormat="1" ht="24.9" customHeight="1" x14ac:dyDescent="0.25">
      <c r="A65" s="302" t="str">
        <f>'Kalk UHR KiGa Am Rain'!A65</f>
        <v>Kindergarten</v>
      </c>
      <c r="B65" s="302" t="str">
        <f>'Kalk UHR KiGa Am Rain'!B65</f>
        <v>EG</v>
      </c>
      <c r="C65" s="302" t="str">
        <f>IF('Kalk UHR KiGa Am Rain'!C65="","",'Kalk UHR KiGa Am Rain'!C65)</f>
        <v/>
      </c>
      <c r="D65" s="302" t="str">
        <f>'Kalk UHR KiGa Am Rain'!D65</f>
        <v>Küche</v>
      </c>
      <c r="E65" s="302" t="str">
        <f>'Kalk UHR KiGa Am Rain'!E65</f>
        <v>Steinzeug/Fliesen</v>
      </c>
      <c r="F65" s="228" t="str">
        <f>'Kalk UHR KiGa Am Rain'!F65</f>
        <v>K1-W5</v>
      </c>
      <c r="G65" s="228" t="str">
        <f t="shared" si="0"/>
        <v>K1-J1</v>
      </c>
      <c r="H65" s="127">
        <f>'Kalk UHR KiGa Am Rain'!G65</f>
        <v>17.3</v>
      </c>
      <c r="I65" s="97" t="s">
        <v>54</v>
      </c>
      <c r="J65" s="328">
        <f>VLOOKUP(I65,Turnus!$H$9:$I$26,2,FALSE)</f>
        <v>1</v>
      </c>
      <c r="K65" s="127">
        <f t="shared" si="11"/>
        <v>17.3</v>
      </c>
      <c r="L65" s="128">
        <f>VLOOKUP($G65,'Leistungswerte GR Kigas'!$C$6:$F$53,4,FALSE)</f>
        <v>0</v>
      </c>
      <c r="M65" s="129">
        <f t="shared" si="5"/>
        <v>0</v>
      </c>
      <c r="N65" s="129">
        <f t="shared" si="12"/>
        <v>0</v>
      </c>
      <c r="O65" s="547">
        <f t="shared" si="6"/>
        <v>0</v>
      </c>
      <c r="P65" s="130">
        <f t="shared" si="13"/>
        <v>0</v>
      </c>
      <c r="Q65" s="131">
        <f t="shared" si="14"/>
        <v>0</v>
      </c>
    </row>
    <row r="66" spans="1:18" s="57" customFormat="1" ht="24.9" customHeight="1" x14ac:dyDescent="0.25">
      <c r="A66" s="302" t="str">
        <f>'Kalk UHR KiGa Am Rain'!A66</f>
        <v>Kindergarten</v>
      </c>
      <c r="B66" s="302" t="str">
        <f>'Kalk UHR KiGa Am Rain'!B66</f>
        <v>EG</v>
      </c>
      <c r="C66" s="302" t="str">
        <f>IF('Kalk UHR KiGa Am Rain'!C66="","",'Kalk UHR KiGa Am Rain'!C66)</f>
        <v/>
      </c>
      <c r="D66" s="302" t="str">
        <f>'Kalk UHR KiGa Am Rain'!D66</f>
        <v>Vorräte</v>
      </c>
      <c r="E66" s="302" t="str">
        <f>'Kalk UHR KiGa Am Rain'!E66</f>
        <v>Lino</v>
      </c>
      <c r="F66" s="228" t="str">
        <f>'Kalk UHR KiGa Am Rain'!F66</f>
        <v>L1-W5</v>
      </c>
      <c r="G66" s="228" t="str">
        <f t="shared" si="0"/>
        <v>L1-J0,5</v>
      </c>
      <c r="H66" s="127">
        <f>'Kalk UHR KiGa Am Rain'!G66</f>
        <v>8.3000000000000007</v>
      </c>
      <c r="I66" s="97" t="s">
        <v>909</v>
      </c>
      <c r="J66" s="328">
        <f>VLOOKUP(I66,Turnus!$H$9:$I$26,2,FALSE)</f>
        <v>0.5</v>
      </c>
      <c r="K66" s="127">
        <f t="shared" si="11"/>
        <v>4.1500000000000004</v>
      </c>
      <c r="L66" s="128">
        <f>VLOOKUP($G66,'Leistungswerte GR Kigas'!$C$6:$F$53,4,FALSE)</f>
        <v>0</v>
      </c>
      <c r="M66" s="129">
        <f t="shared" si="5"/>
        <v>0</v>
      </c>
      <c r="N66" s="129">
        <f t="shared" si="12"/>
        <v>0</v>
      </c>
      <c r="O66" s="547">
        <f t="shared" si="6"/>
        <v>0</v>
      </c>
      <c r="P66" s="130">
        <f t="shared" si="13"/>
        <v>0</v>
      </c>
      <c r="Q66" s="131">
        <f t="shared" si="14"/>
        <v>0</v>
      </c>
      <c r="R66" s="56"/>
    </row>
    <row r="67" spans="1:18" s="57" customFormat="1" ht="24.9" customHeight="1" x14ac:dyDescent="0.25">
      <c r="A67" s="302" t="str">
        <f>'Kalk UHR KiGa Am Rain'!A67</f>
        <v>Kindergarten</v>
      </c>
      <c r="B67" s="302" t="str">
        <f>'Kalk UHR KiGa Am Rain'!B67</f>
        <v>EG</v>
      </c>
      <c r="C67" s="302" t="str">
        <f>IF('Kalk UHR KiGa Am Rain'!C67="","",'Kalk UHR KiGa Am Rain'!C67)</f>
        <v/>
      </c>
      <c r="D67" s="302" t="str">
        <f>'Kalk UHR KiGa Am Rain'!D67</f>
        <v>WC Personal</v>
      </c>
      <c r="E67" s="302" t="str">
        <f>'Kalk UHR KiGa Am Rain'!E67</f>
        <v>Steinzeug/Fliesen</v>
      </c>
      <c r="F67" s="228" t="str">
        <f>'Kalk UHR KiGa Am Rain'!F67</f>
        <v>S1-W5</v>
      </c>
      <c r="G67" s="228" t="str">
        <f t="shared" si="0"/>
        <v>S1-J1</v>
      </c>
      <c r="H67" s="127">
        <f>'Kalk UHR KiGa Am Rain'!G67</f>
        <v>9.68</v>
      </c>
      <c r="I67" s="97" t="s">
        <v>54</v>
      </c>
      <c r="J67" s="328">
        <f>VLOOKUP(I67,Turnus!$H$9:$I$26,2,FALSE)</f>
        <v>1</v>
      </c>
      <c r="K67" s="127">
        <f t="shared" si="11"/>
        <v>9.68</v>
      </c>
      <c r="L67" s="128">
        <f>VLOOKUP($G67,'Leistungswerte GR Kigas'!$C$6:$F$53,4,FALSE)</f>
        <v>0</v>
      </c>
      <c r="M67" s="129">
        <f t="shared" si="5"/>
        <v>0</v>
      </c>
      <c r="N67" s="129">
        <f t="shared" si="12"/>
        <v>0</v>
      </c>
      <c r="O67" s="547">
        <f t="shared" si="6"/>
        <v>0</v>
      </c>
      <c r="P67" s="130">
        <f t="shared" si="13"/>
        <v>0</v>
      </c>
      <c r="Q67" s="131">
        <f t="shared" si="14"/>
        <v>0</v>
      </c>
      <c r="R67" s="309"/>
    </row>
    <row r="68" spans="1:18" s="57" customFormat="1" ht="24.9" customHeight="1" x14ac:dyDescent="0.25">
      <c r="A68" s="302" t="str">
        <f>'Kalk UHR KiGa Am Rain'!A68</f>
        <v>Kindergarten</v>
      </c>
      <c r="B68" s="302" t="str">
        <f>'Kalk UHR KiGa Am Rain'!B68</f>
        <v>EG</v>
      </c>
      <c r="C68" s="302" t="str">
        <f>IF('Kalk UHR KiGa Am Rain'!C68="","",'Kalk UHR KiGa Am Rain'!C68)</f>
        <v/>
      </c>
      <c r="D68" s="302" t="str">
        <f>'Kalk UHR KiGa Am Rain'!D68</f>
        <v>Müllraum</v>
      </c>
      <c r="E68" s="302" t="str">
        <f>'Kalk UHR KiGa Am Rain'!E68</f>
        <v>Beton</v>
      </c>
      <c r="F68" s="228" t="str">
        <f>'Kalk UHR KiGa Am Rain'!F68</f>
        <v>L1-W1</v>
      </c>
      <c r="G68" s="228" t="str">
        <f t="shared" si="0"/>
        <v>L1-J0,5</v>
      </c>
      <c r="H68" s="127">
        <f>'Kalk UHR KiGa Am Rain'!G68</f>
        <v>11.41</v>
      </c>
      <c r="I68" s="97" t="s">
        <v>909</v>
      </c>
      <c r="J68" s="328">
        <f>VLOOKUP(I68,Turnus!$H$9:$I$26,2,FALSE)</f>
        <v>0.5</v>
      </c>
      <c r="K68" s="127">
        <f t="shared" si="1"/>
        <v>5.7050000000000001</v>
      </c>
      <c r="L68" s="128">
        <f>VLOOKUP($G68,'Leistungswerte GR Kigas'!$C$6:$F$53,4,FALSE)</f>
        <v>0</v>
      </c>
      <c r="M68" s="129">
        <f t="shared" si="5"/>
        <v>0</v>
      </c>
      <c r="N68" s="129">
        <f t="shared" si="2"/>
        <v>0</v>
      </c>
      <c r="O68" s="547">
        <f t="shared" si="6"/>
        <v>0</v>
      </c>
      <c r="P68" s="130">
        <f t="shared" si="3"/>
        <v>0</v>
      </c>
      <c r="Q68" s="131">
        <f t="shared" si="4"/>
        <v>0</v>
      </c>
      <c r="R68" s="56"/>
    </row>
    <row r="69" spans="1:18" s="57" customFormat="1" ht="24.9" customHeight="1" x14ac:dyDescent="0.25">
      <c r="A69" s="302" t="str">
        <f>'Kalk UHR KiGa Am Rain'!A69</f>
        <v>Kindergarten</v>
      </c>
      <c r="B69" s="302" t="str">
        <f>'Kalk UHR KiGa Am Rain'!B69</f>
        <v>EG</v>
      </c>
      <c r="C69" s="302" t="str">
        <f>IF('Kalk UHR KiGa Am Rain'!C69="","",'Kalk UHR KiGa Am Rain'!C69)</f>
        <v/>
      </c>
      <c r="D69" s="302" t="str">
        <f>'Kalk UHR KiGa Am Rain'!D69</f>
        <v>Putzraum</v>
      </c>
      <c r="E69" s="302">
        <f>'Kalk UHR KiGa Am Rain'!E69</f>
        <v>0</v>
      </c>
      <c r="F69" s="228" t="str">
        <f>'Kalk UHR KiGa Am Rain'!F69</f>
        <v>Z-kR</v>
      </c>
      <c r="G69" s="228" t="str">
        <f t="shared" si="0"/>
        <v>Z--kR</v>
      </c>
      <c r="H69" s="127">
        <f>'Kalk UHR KiGa Am Rain'!G69</f>
        <v>5.52</v>
      </c>
      <c r="I69" s="97" t="s">
        <v>68</v>
      </c>
      <c r="J69" s="328">
        <f>VLOOKUP(I69,Turnus!$H$9:$I$26,2,FALSE)</f>
        <v>0</v>
      </c>
      <c r="K69" s="127">
        <f t="shared" si="1"/>
        <v>0</v>
      </c>
      <c r="L69" s="128">
        <f>VLOOKUP($G69,'Leistungswerte GR Kigas'!$C$6:$F$53,4,FALSE)</f>
        <v>0</v>
      </c>
      <c r="M69" s="129">
        <f t="shared" si="5"/>
        <v>0</v>
      </c>
      <c r="N69" s="129">
        <f t="shared" si="2"/>
        <v>0</v>
      </c>
      <c r="O69" s="547">
        <f t="shared" si="6"/>
        <v>0</v>
      </c>
      <c r="P69" s="130">
        <f t="shared" si="3"/>
        <v>0</v>
      </c>
      <c r="Q69" s="131">
        <f t="shared" si="4"/>
        <v>0</v>
      </c>
      <c r="R69" s="309"/>
    </row>
    <row r="70" spans="1:18" s="57" customFormat="1" ht="24.6" customHeight="1" x14ac:dyDescent="0.25">
      <c r="A70" s="302" t="str">
        <f>'Kalk UHR KiGa Am Rain'!A70</f>
        <v>Kindergarten</v>
      </c>
      <c r="B70" s="302" t="str">
        <f>'Kalk UHR KiGa Am Rain'!B70</f>
        <v>EG</v>
      </c>
      <c r="C70" s="302" t="str">
        <f>IF('Kalk UHR KiGa Am Rain'!C70="","",'Kalk UHR KiGa Am Rain'!C70)</f>
        <v/>
      </c>
      <c r="D70" s="302" t="str">
        <f>'Kalk UHR KiGa Am Rain'!D70</f>
        <v>Fahrrad Kinderwagen Abstellraum</v>
      </c>
      <c r="E70" s="302" t="str">
        <f>'Kalk UHR KiGa Am Rain'!E70</f>
        <v>Beton</v>
      </c>
      <c r="F70" s="228" t="str">
        <f>'Kalk UHR KiGa Am Rain'!F70</f>
        <v>L1-W1</v>
      </c>
      <c r="G70" s="228" t="str">
        <f t="shared" si="0"/>
        <v>L1-J0,5</v>
      </c>
      <c r="H70" s="127">
        <f>'Kalk UHR KiGa Am Rain'!G70</f>
        <v>15.5</v>
      </c>
      <c r="I70" s="97" t="s">
        <v>909</v>
      </c>
      <c r="J70" s="328">
        <f>VLOOKUP(I70,Turnus!$H$9:$I$26,2,FALSE)</f>
        <v>0.5</v>
      </c>
      <c r="K70" s="127">
        <f t="shared" si="1"/>
        <v>7.75</v>
      </c>
      <c r="L70" s="128">
        <f>VLOOKUP($G70,'Leistungswerte GR Kigas'!$C$6:$F$53,4,FALSE)</f>
        <v>0</v>
      </c>
      <c r="M70" s="129">
        <f t="shared" si="5"/>
        <v>0</v>
      </c>
      <c r="N70" s="129">
        <f t="shared" si="2"/>
        <v>0</v>
      </c>
      <c r="O70" s="547">
        <f t="shared" si="6"/>
        <v>0</v>
      </c>
      <c r="P70" s="130">
        <f t="shared" si="3"/>
        <v>0</v>
      </c>
      <c r="Q70" s="131">
        <f t="shared" si="4"/>
        <v>0</v>
      </c>
      <c r="R70" s="56"/>
    </row>
    <row r="71" spans="1:18" s="57" customFormat="1" ht="24.9" customHeight="1" x14ac:dyDescent="0.25">
      <c r="A71" s="302" t="str">
        <f>'Kalk UHR KiGa Am Rain'!A71</f>
        <v>Kindergarten</v>
      </c>
      <c r="B71" s="302" t="str">
        <f>'Kalk UHR KiGa Am Rain'!B71</f>
        <v>EG</v>
      </c>
      <c r="C71" s="302" t="str">
        <f>IF('Kalk UHR KiGa Am Rain'!C71="","",'Kalk UHR KiGa Am Rain'!C71)</f>
        <v/>
      </c>
      <c r="D71" s="302" t="str">
        <f>'Kalk UHR KiGa Am Rain'!D71</f>
        <v>Gerätehaus außen</v>
      </c>
      <c r="E71" s="302" t="str">
        <f>'Kalk UHR KiGa Am Rain'!E71</f>
        <v>Beton</v>
      </c>
      <c r="F71" s="228" t="str">
        <f>'Kalk UHR KiGa Am Rain'!F71</f>
        <v>L1-M1</v>
      </c>
      <c r="G71" s="228" t="str">
        <f t="shared" si="0"/>
        <v>L1-J0,5</v>
      </c>
      <c r="H71" s="127">
        <f>'Kalk UHR KiGa Am Rain'!G71</f>
        <v>18.600000000000001</v>
      </c>
      <c r="I71" s="97" t="s">
        <v>909</v>
      </c>
      <c r="J71" s="328">
        <f>VLOOKUP(I71,Turnus!$H$9:$I$26,2,FALSE)</f>
        <v>0.5</v>
      </c>
      <c r="K71" s="127">
        <f t="shared" si="1"/>
        <v>9.3000000000000007</v>
      </c>
      <c r="L71" s="128">
        <f>VLOOKUP($G71,'Leistungswerte GR Kigas'!$C$6:$F$53,4,FALSE)</f>
        <v>0</v>
      </c>
      <c r="M71" s="129">
        <f t="shared" si="5"/>
        <v>0</v>
      </c>
      <c r="N71" s="129">
        <f t="shared" si="2"/>
        <v>0</v>
      </c>
      <c r="O71" s="547">
        <f t="shared" si="6"/>
        <v>0</v>
      </c>
      <c r="P71" s="130">
        <f t="shared" si="3"/>
        <v>0</v>
      </c>
      <c r="Q71" s="131">
        <f t="shared" si="4"/>
        <v>0</v>
      </c>
      <c r="R71" s="56"/>
    </row>
    <row r="72" spans="1:18" s="57" customFormat="1" ht="24.9" customHeight="1" x14ac:dyDescent="0.25">
      <c r="A72" s="302" t="str">
        <f>'Kalk UHR KiGa Am Rain'!A72</f>
        <v>Kindergarten</v>
      </c>
      <c r="B72" s="302" t="str">
        <f>'Kalk UHR KiGa Am Rain'!B72</f>
        <v>OG</v>
      </c>
      <c r="C72" s="302" t="str">
        <f>IF('Kalk UHR KiGa Am Rain'!C72="","",'Kalk UHR KiGa Am Rain'!C72)</f>
        <v/>
      </c>
      <c r="D72" s="302" t="str">
        <f>'Kalk UHR KiGa Am Rain'!D72</f>
        <v>Speicher</v>
      </c>
      <c r="E72" s="302">
        <f>'Kalk UHR KiGa Am Rain'!E72</f>
        <v>0</v>
      </c>
      <c r="F72" s="228" t="str">
        <f>'Kalk UHR KiGa Am Rain'!F72</f>
        <v>L3-J1</v>
      </c>
      <c r="G72" s="228" t="str">
        <f t="shared" ref="G72:G76" si="15">CONCATENATE((LEFT(F72,2)),"-",I72)</f>
        <v>L3-J0,5</v>
      </c>
      <c r="H72" s="127">
        <f>'Kalk UHR KiGa Am Rain'!G72</f>
        <v>30</v>
      </c>
      <c r="I72" s="97" t="s">
        <v>909</v>
      </c>
      <c r="J72" s="328">
        <f>VLOOKUP(I72,Turnus!$H$9:$I$26,2,FALSE)</f>
        <v>0.5</v>
      </c>
      <c r="K72" s="127">
        <f t="shared" si="1"/>
        <v>15</v>
      </c>
      <c r="L72" s="128">
        <f>VLOOKUP($G72,'Leistungswerte GR Kigas'!$C$6:$F$53,4,FALSE)</f>
        <v>0</v>
      </c>
      <c r="M72" s="129">
        <f t="shared" si="5"/>
        <v>0</v>
      </c>
      <c r="N72" s="129">
        <f t="shared" si="2"/>
        <v>0</v>
      </c>
      <c r="O72" s="547">
        <f t="shared" si="6"/>
        <v>0</v>
      </c>
      <c r="P72" s="130">
        <f t="shared" si="3"/>
        <v>0</v>
      </c>
      <c r="Q72" s="131">
        <f t="shared" si="4"/>
        <v>0</v>
      </c>
      <c r="R72" s="56"/>
    </row>
    <row r="73" spans="1:18" s="57" customFormat="1" ht="24.9" customHeight="1" x14ac:dyDescent="0.25">
      <c r="A73" s="302" t="str">
        <f>'Kalk UHR KiGa Am Rain'!A73</f>
        <v>Kindergarten</v>
      </c>
      <c r="B73" s="302" t="str">
        <f>'Kalk UHR KiGa Am Rain'!B73</f>
        <v>OG</v>
      </c>
      <c r="C73" s="302" t="str">
        <f>IF('Kalk UHR KiGa Am Rain'!C73="","",'Kalk UHR KiGa Am Rain'!C73)</f>
        <v/>
      </c>
      <c r="D73" s="302" t="str">
        <f>'Kalk UHR KiGa Am Rain'!D73</f>
        <v>Galerie 1</v>
      </c>
      <c r="E73" s="302" t="str">
        <f>'Kalk UHR KiGa Am Rain'!E73</f>
        <v>Lino/Textil</v>
      </c>
      <c r="F73" s="228" t="str">
        <f>'Kalk UHR KiGa Am Rain'!F73</f>
        <v>G1-W5</v>
      </c>
      <c r="G73" s="228" t="str">
        <f t="shared" si="15"/>
        <v>G1-J0,5</v>
      </c>
      <c r="H73" s="127">
        <f>'Kalk UHR KiGa Am Rain'!G73</f>
        <v>18.79</v>
      </c>
      <c r="I73" s="97" t="s">
        <v>909</v>
      </c>
      <c r="J73" s="328">
        <f>VLOOKUP(I73,Turnus!$H$9:$I$26,2,FALSE)</f>
        <v>0.5</v>
      </c>
      <c r="K73" s="127">
        <f t="shared" si="1"/>
        <v>9.3949999999999996</v>
      </c>
      <c r="L73" s="128">
        <f>VLOOKUP($G73,'Leistungswerte GR Kigas'!$C$6:$F$53,4,FALSE)</f>
        <v>0</v>
      </c>
      <c r="M73" s="129">
        <f t="shared" ref="M73:M76" si="16">IF(ISERROR(H73/L73),0,H73/L73)</f>
        <v>0</v>
      </c>
      <c r="N73" s="129">
        <f t="shared" si="2"/>
        <v>0</v>
      </c>
      <c r="O73" s="547">
        <f t="shared" si="6"/>
        <v>0</v>
      </c>
      <c r="P73" s="130">
        <f t="shared" si="3"/>
        <v>0</v>
      </c>
      <c r="Q73" s="131">
        <f t="shared" si="4"/>
        <v>0</v>
      </c>
      <c r="R73" s="56"/>
    </row>
    <row r="74" spans="1:18" s="57" customFormat="1" ht="24.9" customHeight="1" x14ac:dyDescent="0.25">
      <c r="A74" s="302" t="str">
        <f>'Kalk UHR KiGa Am Rain'!A74</f>
        <v>Kindergarten</v>
      </c>
      <c r="B74" s="302" t="str">
        <f>'Kalk UHR KiGa Am Rain'!B74</f>
        <v>OG</v>
      </c>
      <c r="C74" s="302" t="str">
        <f>IF('Kalk UHR KiGa Am Rain'!C74="","",'Kalk UHR KiGa Am Rain'!C74)</f>
        <v/>
      </c>
      <c r="D74" s="302" t="str">
        <f>'Kalk UHR KiGa Am Rain'!D74</f>
        <v>Schlafraum</v>
      </c>
      <c r="E74" s="302" t="str">
        <f>'Kalk UHR KiGa Am Rain'!E74</f>
        <v>Lino</v>
      </c>
      <c r="F74" s="228" t="str">
        <f>'Kalk UHR KiGa Am Rain'!F74</f>
        <v>G1-W5</v>
      </c>
      <c r="G74" s="228" t="str">
        <f t="shared" si="15"/>
        <v>G1-J0,5</v>
      </c>
      <c r="H74" s="127">
        <f>'Kalk UHR KiGa Am Rain'!G74</f>
        <v>44.09</v>
      </c>
      <c r="I74" s="97" t="s">
        <v>909</v>
      </c>
      <c r="J74" s="328">
        <f>VLOOKUP(I74,Turnus!$H$9:$I$26,2,FALSE)</f>
        <v>0.5</v>
      </c>
      <c r="K74" s="127">
        <f t="shared" si="1"/>
        <v>22.045000000000002</v>
      </c>
      <c r="L74" s="128">
        <f>VLOOKUP($G74,'Leistungswerte GR Kigas'!$C$6:$F$53,4,FALSE)</f>
        <v>0</v>
      </c>
      <c r="M74" s="129">
        <f t="shared" si="16"/>
        <v>0</v>
      </c>
      <c r="N74" s="129">
        <f t="shared" si="2"/>
        <v>0</v>
      </c>
      <c r="O74" s="547">
        <f t="shared" si="6"/>
        <v>0</v>
      </c>
      <c r="P74" s="130">
        <f t="shared" si="3"/>
        <v>0</v>
      </c>
      <c r="Q74" s="131">
        <f t="shared" si="4"/>
        <v>0</v>
      </c>
      <c r="R74" s="56"/>
    </row>
    <row r="75" spans="1:18" s="57" customFormat="1" ht="24.9" customHeight="1" x14ac:dyDescent="0.25">
      <c r="A75" s="302" t="str">
        <f>'Kalk UHR KiGa Am Rain'!A75</f>
        <v>Kindergarten</v>
      </c>
      <c r="B75" s="302" t="str">
        <f>'Kalk UHR KiGa Am Rain'!B75</f>
        <v>OG</v>
      </c>
      <c r="C75" s="302" t="str">
        <f>IF('Kalk UHR KiGa Am Rain'!C75="","",'Kalk UHR KiGa Am Rain'!C75)</f>
        <v/>
      </c>
      <c r="D75" s="302" t="str">
        <f>'Kalk UHR KiGa Am Rain'!D75</f>
        <v>Galerie 2</v>
      </c>
      <c r="E75" s="302" t="str">
        <f>'Kalk UHR KiGa Am Rain'!E75</f>
        <v>Lino/Textil</v>
      </c>
      <c r="F75" s="228" t="str">
        <f>'Kalk UHR KiGa Am Rain'!F75</f>
        <v>G1-W5</v>
      </c>
      <c r="G75" s="228" t="str">
        <f t="shared" si="15"/>
        <v>G1-J0,5</v>
      </c>
      <c r="H75" s="127">
        <f>'Kalk UHR KiGa Am Rain'!G75</f>
        <v>18.79</v>
      </c>
      <c r="I75" s="97" t="s">
        <v>909</v>
      </c>
      <c r="J75" s="328">
        <f>VLOOKUP(I75,Turnus!$H$9:$I$26,2,FALSE)</f>
        <v>0.5</v>
      </c>
      <c r="K75" s="127">
        <f t="shared" si="1"/>
        <v>9.3949999999999996</v>
      </c>
      <c r="L75" s="128">
        <f>VLOOKUP($G75,'Leistungswerte GR Kigas'!$C$6:$F$53,4,FALSE)</f>
        <v>0</v>
      </c>
      <c r="M75" s="129">
        <f t="shared" si="16"/>
        <v>0</v>
      </c>
      <c r="N75" s="129">
        <f t="shared" si="2"/>
        <v>0</v>
      </c>
      <c r="O75" s="547">
        <f t="shared" si="6"/>
        <v>0</v>
      </c>
      <c r="P75" s="130">
        <f t="shared" si="3"/>
        <v>0</v>
      </c>
      <c r="Q75" s="131">
        <f t="shared" si="4"/>
        <v>0</v>
      </c>
      <c r="R75" s="56"/>
    </row>
    <row r="76" spans="1:18" s="57" customFormat="1" ht="24.9" customHeight="1" x14ac:dyDescent="0.25">
      <c r="A76" s="302" t="str">
        <f>'Kalk UHR KiGa Am Rain'!A76</f>
        <v>Kindergarten</v>
      </c>
      <c r="B76" s="302" t="str">
        <f>'Kalk UHR KiGa Am Rain'!B76</f>
        <v>OG</v>
      </c>
      <c r="C76" s="302" t="str">
        <f>IF('Kalk UHR KiGa Am Rain'!C76="","",'Kalk UHR KiGa Am Rain'!C76)</f>
        <v/>
      </c>
      <c r="D76" s="302" t="str">
        <f>'Kalk UHR KiGa Am Rain'!D76</f>
        <v>Galerie 3</v>
      </c>
      <c r="E76" s="302" t="str">
        <f>'Kalk UHR KiGa Am Rain'!E76</f>
        <v>Lino</v>
      </c>
      <c r="F76" s="228" t="str">
        <f>'Kalk UHR KiGa Am Rain'!F76</f>
        <v>G1-W5</v>
      </c>
      <c r="G76" s="228" t="str">
        <f t="shared" si="15"/>
        <v>G1-J0,5</v>
      </c>
      <c r="H76" s="127">
        <f>'Kalk UHR KiGa Am Rain'!G76</f>
        <v>18.79</v>
      </c>
      <c r="I76" s="97" t="s">
        <v>909</v>
      </c>
      <c r="J76" s="328">
        <f>VLOOKUP(I76,Turnus!$H$9:$I$26,2,FALSE)</f>
        <v>0.5</v>
      </c>
      <c r="K76" s="127">
        <f t="shared" si="1"/>
        <v>9.3949999999999996</v>
      </c>
      <c r="L76" s="128">
        <f>VLOOKUP($G76,'Leistungswerte GR Kigas'!$C$6:$F$53,4,FALSE)</f>
        <v>0</v>
      </c>
      <c r="M76" s="129">
        <f t="shared" si="16"/>
        <v>0</v>
      </c>
      <c r="N76" s="129">
        <f t="shared" si="2"/>
        <v>0</v>
      </c>
      <c r="O76" s="547">
        <f t="shared" si="6"/>
        <v>0</v>
      </c>
      <c r="P76" s="130">
        <f t="shared" si="3"/>
        <v>0</v>
      </c>
      <c r="Q76" s="131">
        <f t="shared" si="4"/>
        <v>0</v>
      </c>
      <c r="R76" s="56"/>
    </row>
    <row r="77" spans="1:18" s="57" customFormat="1" ht="26.25" customHeight="1" x14ac:dyDescent="0.3">
      <c r="A77" s="54"/>
      <c r="B77" s="54"/>
      <c r="C77" s="54"/>
      <c r="D77" s="54"/>
      <c r="E77" s="54"/>
      <c r="F77" s="54"/>
      <c r="G77" s="54"/>
      <c r="H77" s="54"/>
      <c r="I77" s="55"/>
      <c r="J77" s="55"/>
      <c r="K77" s="55"/>
      <c r="L77" s="55"/>
      <c r="M77" s="553"/>
      <c r="N77" s="94"/>
      <c r="O77" s="99"/>
      <c r="P77" s="100"/>
      <c r="Q77" s="413"/>
      <c r="R77" s="56"/>
    </row>
    <row r="78" spans="1:18" ht="20.25" customHeight="1" x14ac:dyDescent="0.2">
      <c r="N78" s="102"/>
      <c r="O78" s="103"/>
      <c r="P78" s="466"/>
      <c r="Q78" s="104"/>
      <c r="R78" s="56"/>
    </row>
    <row r="79" spans="1:18" x14ac:dyDescent="0.2">
      <c r="B79" s="52"/>
      <c r="C79" s="52"/>
      <c r="D79" s="52"/>
      <c r="E79" s="59"/>
      <c r="F79" s="59"/>
      <c r="G79" s="59"/>
      <c r="J79" s="52"/>
      <c r="K79" s="52"/>
      <c r="L79" s="52"/>
      <c r="M79" s="52"/>
    </row>
    <row r="80" spans="1:18" ht="12.75" customHeight="1" x14ac:dyDescent="0.2">
      <c r="B80" s="52"/>
      <c r="C80" s="52"/>
      <c r="D80" s="52"/>
      <c r="E80" s="59"/>
      <c r="F80" s="59"/>
      <c r="G80" s="59"/>
      <c r="J80" s="52"/>
      <c r="K80" s="52"/>
      <c r="L80" s="52"/>
      <c r="M80" s="52"/>
    </row>
    <row r="81" spans="2:18" s="105" customFormat="1" ht="12.75" customHeight="1" x14ac:dyDescent="0.2">
      <c r="B81" s="52"/>
      <c r="C81" s="52"/>
      <c r="D81" s="52"/>
      <c r="E81" s="59"/>
      <c r="F81" s="59"/>
      <c r="G81" s="59"/>
      <c r="H81" s="59"/>
      <c r="I81" s="58"/>
      <c r="J81" s="52"/>
      <c r="K81" s="52"/>
      <c r="L81" s="52"/>
      <c r="M81" s="52"/>
      <c r="O81" s="106"/>
      <c r="P81" s="107"/>
      <c r="Q81" s="107"/>
      <c r="R81" s="52"/>
    </row>
    <row r="82" spans="2:18" s="105" customFormat="1" ht="12.75" customHeight="1" x14ac:dyDescent="0.2">
      <c r="B82" s="52"/>
      <c r="C82" s="52"/>
      <c r="D82" s="52"/>
      <c r="E82" s="59"/>
      <c r="F82" s="59"/>
      <c r="G82" s="59"/>
      <c r="H82" s="59"/>
      <c r="I82" s="58"/>
      <c r="J82" s="101"/>
      <c r="K82" s="101"/>
      <c r="L82" s="58"/>
      <c r="M82" s="58"/>
      <c r="O82" s="106"/>
      <c r="P82" s="107"/>
      <c r="Q82" s="107"/>
      <c r="R82" s="52"/>
    </row>
    <row r="83" spans="2:18" s="105" customFormat="1" ht="12.75" customHeight="1" x14ac:dyDescent="0.2">
      <c r="B83" s="52"/>
      <c r="C83" s="52"/>
      <c r="D83" s="52"/>
      <c r="E83" s="59"/>
      <c r="F83" s="59"/>
      <c r="G83" s="59"/>
      <c r="H83" s="59"/>
      <c r="I83" s="58"/>
      <c r="J83" s="101"/>
      <c r="K83" s="101"/>
      <c r="L83" s="58"/>
      <c r="M83" s="58"/>
      <c r="O83" s="106"/>
      <c r="P83" s="107"/>
      <c r="Q83" s="107"/>
      <c r="R83" s="52"/>
    </row>
    <row r="84" spans="2:18" s="105" customFormat="1" ht="12.75" customHeight="1" x14ac:dyDescent="0.2">
      <c r="B84" s="52"/>
      <c r="C84" s="52"/>
      <c r="D84" s="52"/>
      <c r="E84" s="59"/>
      <c r="F84" s="59"/>
      <c r="G84" s="59"/>
      <c r="H84" s="59"/>
      <c r="I84" s="58"/>
      <c r="J84" s="101"/>
      <c r="K84" s="101"/>
      <c r="L84" s="58"/>
      <c r="M84" s="58"/>
      <c r="O84" s="106"/>
      <c r="P84" s="107"/>
      <c r="Q84" s="107"/>
      <c r="R84" s="52"/>
    </row>
    <row r="85" spans="2:18" s="105" customFormat="1" x14ac:dyDescent="0.2">
      <c r="B85" s="52"/>
      <c r="C85" s="52"/>
      <c r="D85" s="52"/>
      <c r="E85" s="59"/>
      <c r="F85" s="59"/>
      <c r="G85" s="59"/>
      <c r="H85" s="59"/>
      <c r="I85" s="58"/>
      <c r="J85" s="101"/>
      <c r="K85" s="101"/>
      <c r="L85" s="58"/>
      <c r="M85" s="58"/>
      <c r="O85" s="106"/>
      <c r="P85" s="107"/>
      <c r="Q85" s="107"/>
      <c r="R85" s="52"/>
    </row>
    <row r="86" spans="2:18" s="105" customFormat="1" x14ac:dyDescent="0.2">
      <c r="B86" s="52"/>
      <c r="C86" s="52"/>
      <c r="D86" s="52"/>
      <c r="E86" s="59"/>
      <c r="F86" s="59"/>
      <c r="G86" s="59"/>
      <c r="H86" s="59"/>
      <c r="I86" s="58"/>
      <c r="J86" s="101"/>
      <c r="K86" s="101"/>
      <c r="L86" s="58"/>
      <c r="M86" s="58"/>
      <c r="O86" s="106"/>
      <c r="P86" s="107"/>
      <c r="Q86" s="107"/>
      <c r="R86" s="52"/>
    </row>
    <row r="87" spans="2:18" s="105" customFormat="1" x14ac:dyDescent="0.2">
      <c r="B87" s="59"/>
      <c r="C87" s="59"/>
      <c r="D87" s="59"/>
      <c r="E87" s="59"/>
      <c r="F87" s="59"/>
      <c r="G87" s="59"/>
      <c r="H87" s="59"/>
      <c r="I87" s="58"/>
      <c r="J87" s="101"/>
      <c r="K87" s="101"/>
      <c r="L87" s="58"/>
      <c r="M87" s="58"/>
      <c r="O87" s="106"/>
      <c r="P87" s="107"/>
      <c r="Q87" s="107"/>
      <c r="R87" s="52"/>
    </row>
    <row r="88" spans="2:18" s="105" customFormat="1" x14ac:dyDescent="0.2">
      <c r="B88" s="59"/>
      <c r="C88" s="59"/>
      <c r="D88" s="59"/>
      <c r="E88" s="59"/>
      <c r="F88" s="59"/>
      <c r="G88" s="59"/>
      <c r="H88" s="59"/>
      <c r="I88" s="58"/>
      <c r="J88" s="101"/>
      <c r="K88" s="101"/>
      <c r="L88" s="58"/>
      <c r="M88" s="58"/>
      <c r="O88" s="106"/>
      <c r="P88" s="107"/>
      <c r="Q88" s="107"/>
      <c r="R88" s="52"/>
    </row>
    <row r="89" spans="2:18" s="105" customFormat="1" x14ac:dyDescent="0.2">
      <c r="B89" s="59"/>
      <c r="C89" s="59"/>
      <c r="D89" s="59"/>
      <c r="E89" s="59"/>
      <c r="F89" s="59"/>
      <c r="G89" s="59"/>
      <c r="H89" s="59"/>
      <c r="I89" s="58"/>
      <c r="J89" s="101"/>
      <c r="K89" s="101"/>
      <c r="L89" s="58"/>
      <c r="M89" s="58"/>
      <c r="O89" s="106"/>
      <c r="P89" s="107"/>
      <c r="Q89" s="107"/>
      <c r="R89" s="52"/>
    </row>
    <row r="90" spans="2:18" s="105" customFormat="1" x14ac:dyDescent="0.2">
      <c r="B90" s="59"/>
      <c r="C90" s="59"/>
      <c r="D90" s="59"/>
      <c r="E90" s="59"/>
      <c r="F90" s="59"/>
      <c r="G90" s="59"/>
      <c r="H90" s="59"/>
      <c r="I90" s="58"/>
      <c r="J90" s="101"/>
      <c r="K90" s="101"/>
      <c r="L90" s="58"/>
      <c r="M90" s="58"/>
      <c r="O90" s="106"/>
      <c r="P90" s="107"/>
      <c r="Q90" s="107"/>
      <c r="R90" s="52"/>
    </row>
    <row r="91" spans="2:18" s="105" customFormat="1" x14ac:dyDescent="0.2">
      <c r="B91" s="59"/>
      <c r="C91" s="59"/>
      <c r="D91" s="59"/>
      <c r="E91" s="59"/>
      <c r="F91" s="59"/>
      <c r="G91" s="59"/>
      <c r="H91" s="59"/>
      <c r="I91" s="58"/>
      <c r="J91" s="101"/>
      <c r="K91" s="101"/>
      <c r="L91" s="58"/>
      <c r="M91" s="58"/>
      <c r="O91" s="106"/>
      <c r="P91" s="107"/>
      <c r="Q91" s="107"/>
      <c r="R91" s="52"/>
    </row>
    <row r="92" spans="2:18" s="105" customFormat="1" x14ac:dyDescent="0.2">
      <c r="B92" s="59"/>
      <c r="C92" s="59"/>
      <c r="D92" s="59"/>
      <c r="E92" s="59"/>
      <c r="F92" s="59"/>
      <c r="G92" s="59"/>
      <c r="H92" s="59"/>
      <c r="I92" s="58"/>
      <c r="J92" s="101"/>
      <c r="K92" s="101"/>
      <c r="L92" s="58"/>
      <c r="M92" s="58"/>
      <c r="O92" s="106"/>
      <c r="P92" s="107"/>
      <c r="Q92" s="107"/>
      <c r="R92" s="52"/>
    </row>
    <row r="93" spans="2:18" s="105" customFormat="1" x14ac:dyDescent="0.2">
      <c r="B93" s="59"/>
      <c r="C93" s="59"/>
      <c r="D93" s="59"/>
      <c r="E93" s="59"/>
      <c r="F93" s="59"/>
      <c r="G93" s="59"/>
      <c r="H93" s="59"/>
      <c r="I93" s="58"/>
      <c r="J93" s="101"/>
      <c r="K93" s="101"/>
      <c r="L93" s="58"/>
      <c r="M93" s="58"/>
      <c r="O93" s="106"/>
      <c r="P93" s="107"/>
      <c r="Q93" s="107"/>
      <c r="R93" s="52"/>
    </row>
    <row r="94" spans="2:18" s="105" customFormat="1" x14ac:dyDescent="0.2">
      <c r="B94" s="59"/>
      <c r="C94" s="59"/>
      <c r="D94" s="59"/>
      <c r="E94" s="59"/>
      <c r="F94" s="59"/>
      <c r="G94" s="59"/>
      <c r="H94" s="59"/>
      <c r="I94" s="58"/>
      <c r="J94" s="101"/>
      <c r="K94" s="101"/>
      <c r="L94" s="58"/>
      <c r="M94" s="58"/>
      <c r="O94" s="106"/>
      <c r="P94" s="107"/>
      <c r="Q94" s="107"/>
      <c r="R94" s="52"/>
    </row>
    <row r="95" spans="2:18" s="105" customFormat="1" x14ac:dyDescent="0.2">
      <c r="B95" s="59"/>
      <c r="C95" s="59"/>
      <c r="D95" s="59"/>
      <c r="E95" s="59"/>
      <c r="F95" s="59"/>
      <c r="G95" s="59"/>
      <c r="H95" s="59"/>
      <c r="I95" s="58"/>
      <c r="J95" s="101"/>
      <c r="K95" s="101"/>
      <c r="L95" s="58"/>
      <c r="M95" s="58"/>
      <c r="O95" s="106"/>
      <c r="P95" s="107"/>
      <c r="Q95" s="107"/>
      <c r="R95" s="52"/>
    </row>
    <row r="96" spans="2:18" s="105" customFormat="1" x14ac:dyDescent="0.2">
      <c r="B96" s="59"/>
      <c r="C96" s="59"/>
      <c r="D96" s="59"/>
      <c r="E96" s="59"/>
      <c r="F96" s="59"/>
      <c r="G96" s="59"/>
      <c r="H96" s="59"/>
      <c r="I96" s="58"/>
      <c r="J96" s="101"/>
      <c r="K96" s="101"/>
      <c r="L96" s="58"/>
      <c r="M96" s="58"/>
      <c r="O96" s="106"/>
      <c r="P96" s="107"/>
      <c r="Q96" s="107"/>
      <c r="R96" s="52"/>
    </row>
    <row r="97" spans="9:18" s="59" customFormat="1" x14ac:dyDescent="0.2">
      <c r="I97" s="58"/>
      <c r="J97" s="101"/>
      <c r="K97" s="101"/>
      <c r="L97" s="58"/>
      <c r="M97" s="58"/>
      <c r="N97" s="105"/>
      <c r="O97" s="106"/>
      <c r="P97" s="107"/>
      <c r="Q97" s="107"/>
      <c r="R97" s="52"/>
    </row>
    <row r="98" spans="9:18" s="59" customFormat="1" x14ac:dyDescent="0.2">
      <c r="I98" s="58"/>
      <c r="J98" s="101"/>
      <c r="K98" s="101"/>
      <c r="L98" s="58"/>
      <c r="M98" s="58"/>
      <c r="N98" s="105"/>
      <c r="O98" s="106"/>
      <c r="P98" s="107"/>
      <c r="Q98" s="107"/>
      <c r="R98" s="52"/>
    </row>
    <row r="99" spans="9:18" s="59" customFormat="1" x14ac:dyDescent="0.2">
      <c r="I99" s="58"/>
      <c r="J99" s="101"/>
      <c r="K99" s="101"/>
      <c r="L99" s="58"/>
      <c r="M99" s="58"/>
      <c r="N99" s="105"/>
      <c r="O99" s="106"/>
      <c r="P99" s="107"/>
      <c r="Q99" s="107"/>
      <c r="R99" s="52"/>
    </row>
    <row r="100" spans="9:18" s="59" customFormat="1" x14ac:dyDescent="0.2">
      <c r="I100" s="58"/>
      <c r="J100" s="101"/>
      <c r="K100" s="101"/>
      <c r="L100" s="58"/>
      <c r="M100" s="58"/>
      <c r="N100" s="105"/>
      <c r="O100" s="106"/>
      <c r="P100" s="107"/>
      <c r="Q100" s="107"/>
      <c r="R100" s="52"/>
    </row>
    <row r="101" spans="9:18" s="59" customFormat="1" x14ac:dyDescent="0.2">
      <c r="I101" s="58"/>
      <c r="J101" s="101"/>
      <c r="K101" s="101"/>
      <c r="L101" s="58"/>
      <c r="M101" s="58"/>
      <c r="N101" s="105"/>
      <c r="O101" s="106"/>
      <c r="P101" s="107"/>
      <c r="Q101" s="107"/>
      <c r="R101" s="52"/>
    </row>
    <row r="102" spans="9:18" s="59" customFormat="1" x14ac:dyDescent="0.2">
      <c r="I102" s="58"/>
      <c r="J102" s="101"/>
      <c r="K102" s="101"/>
      <c r="L102" s="58"/>
      <c r="M102" s="58"/>
      <c r="N102" s="105"/>
      <c r="O102" s="106"/>
      <c r="P102" s="107"/>
      <c r="Q102" s="107"/>
      <c r="R102" s="52"/>
    </row>
    <row r="103" spans="9:18" s="59" customFormat="1" x14ac:dyDescent="0.2">
      <c r="I103" s="58"/>
      <c r="J103" s="101"/>
      <c r="K103" s="101"/>
      <c r="L103" s="58"/>
      <c r="M103" s="58"/>
      <c r="N103" s="105"/>
      <c r="O103" s="106"/>
      <c r="P103" s="107"/>
      <c r="Q103" s="107"/>
      <c r="R103" s="52"/>
    </row>
    <row r="104" spans="9:18" s="59" customFormat="1" x14ac:dyDescent="0.2">
      <c r="I104" s="58"/>
      <c r="J104" s="101"/>
      <c r="K104" s="101"/>
      <c r="L104" s="58"/>
      <c r="M104" s="58"/>
      <c r="N104" s="105"/>
      <c r="O104" s="106"/>
      <c r="P104" s="107"/>
      <c r="Q104" s="107"/>
      <c r="R104" s="52"/>
    </row>
    <row r="105" spans="9:18" s="59" customFormat="1" x14ac:dyDescent="0.2">
      <c r="I105" s="58"/>
      <c r="J105" s="101"/>
      <c r="K105" s="101"/>
      <c r="L105" s="58"/>
      <c r="M105" s="58"/>
      <c r="N105" s="105"/>
      <c r="O105" s="106"/>
      <c r="P105" s="107"/>
      <c r="Q105" s="107"/>
      <c r="R105" s="52"/>
    </row>
    <row r="106" spans="9:18" s="59" customFormat="1" x14ac:dyDescent="0.2">
      <c r="I106" s="58"/>
      <c r="J106" s="101"/>
      <c r="K106" s="101"/>
      <c r="L106" s="58"/>
      <c r="M106" s="58"/>
      <c r="N106" s="105"/>
      <c r="O106" s="106"/>
      <c r="P106" s="107"/>
      <c r="Q106" s="107"/>
      <c r="R106" s="52"/>
    </row>
    <row r="107" spans="9:18" s="59" customFormat="1" x14ac:dyDescent="0.2">
      <c r="I107" s="58"/>
      <c r="J107" s="101"/>
      <c r="K107" s="101"/>
      <c r="L107" s="58"/>
      <c r="M107" s="58"/>
      <c r="N107" s="105"/>
      <c r="O107" s="106"/>
      <c r="P107" s="107"/>
      <c r="Q107" s="107"/>
      <c r="R107" s="52"/>
    </row>
    <row r="108" spans="9:18" s="59" customFormat="1" x14ac:dyDescent="0.2">
      <c r="I108" s="58"/>
      <c r="J108" s="101"/>
      <c r="K108" s="101"/>
      <c r="L108" s="58"/>
      <c r="M108" s="58"/>
      <c r="N108" s="105"/>
      <c r="O108" s="106"/>
      <c r="P108" s="107"/>
      <c r="Q108" s="107"/>
      <c r="R108" s="52"/>
    </row>
    <row r="109" spans="9:18" s="59" customFormat="1" x14ac:dyDescent="0.2">
      <c r="I109" s="58"/>
      <c r="J109" s="101"/>
      <c r="K109" s="101"/>
      <c r="L109" s="58"/>
      <c r="M109" s="58"/>
      <c r="N109" s="105"/>
      <c r="O109" s="106"/>
      <c r="P109" s="107"/>
      <c r="Q109" s="107"/>
      <c r="R109" s="52"/>
    </row>
    <row r="110" spans="9:18" s="59" customFormat="1" x14ac:dyDescent="0.2">
      <c r="I110" s="58"/>
      <c r="J110" s="101"/>
      <c r="K110" s="101"/>
      <c r="L110" s="58"/>
      <c r="M110" s="58"/>
      <c r="N110" s="105"/>
      <c r="O110" s="106"/>
      <c r="P110" s="107"/>
      <c r="Q110" s="107"/>
      <c r="R110" s="52"/>
    </row>
    <row r="111" spans="9:18" s="59" customFormat="1" x14ac:dyDescent="0.2">
      <c r="I111" s="58"/>
      <c r="J111" s="101"/>
      <c r="K111" s="101"/>
      <c r="L111" s="58"/>
      <c r="M111" s="58"/>
      <c r="N111" s="105"/>
      <c r="O111" s="106"/>
      <c r="P111" s="107"/>
      <c r="Q111" s="107"/>
      <c r="R111" s="52"/>
    </row>
    <row r="112" spans="9:18" s="59" customFormat="1" x14ac:dyDescent="0.2">
      <c r="I112" s="58"/>
      <c r="J112" s="101"/>
      <c r="K112" s="101"/>
      <c r="L112" s="58"/>
      <c r="M112" s="58"/>
      <c r="N112" s="105"/>
      <c r="O112" s="106"/>
      <c r="P112" s="107"/>
      <c r="Q112" s="107"/>
      <c r="R112" s="52"/>
    </row>
    <row r="113" spans="9:18" s="59" customFormat="1" x14ac:dyDescent="0.2">
      <c r="I113" s="58"/>
      <c r="J113" s="101"/>
      <c r="K113" s="101"/>
      <c r="L113" s="58"/>
      <c r="M113" s="58"/>
      <c r="N113" s="105"/>
      <c r="O113" s="106"/>
      <c r="P113" s="107"/>
      <c r="Q113" s="107"/>
      <c r="R113" s="52"/>
    </row>
    <row r="114" spans="9:18" s="59" customFormat="1" x14ac:dyDescent="0.2">
      <c r="I114" s="58"/>
      <c r="J114" s="101"/>
      <c r="K114" s="101"/>
      <c r="L114" s="58"/>
      <c r="M114" s="58"/>
      <c r="N114" s="105"/>
      <c r="O114" s="106"/>
      <c r="P114" s="107"/>
      <c r="Q114" s="107"/>
      <c r="R114" s="52"/>
    </row>
    <row r="115" spans="9:18" s="59" customFormat="1" x14ac:dyDescent="0.2">
      <c r="I115" s="58"/>
      <c r="J115" s="101"/>
      <c r="K115" s="101"/>
      <c r="L115" s="58"/>
      <c r="M115" s="58"/>
      <c r="N115" s="105"/>
      <c r="O115" s="106"/>
      <c r="P115" s="107"/>
      <c r="Q115" s="107"/>
      <c r="R115" s="52"/>
    </row>
    <row r="116" spans="9:18" s="59" customFormat="1" x14ac:dyDescent="0.2">
      <c r="I116" s="58"/>
      <c r="J116" s="101"/>
      <c r="K116" s="101"/>
      <c r="L116" s="58"/>
      <c r="M116" s="58"/>
      <c r="N116" s="105"/>
      <c r="O116" s="106"/>
      <c r="P116" s="107"/>
      <c r="Q116" s="107"/>
      <c r="R116" s="52"/>
    </row>
    <row r="117" spans="9:18" s="59" customFormat="1" x14ac:dyDescent="0.2">
      <c r="I117" s="58"/>
      <c r="J117" s="101"/>
      <c r="K117" s="101"/>
      <c r="L117" s="58"/>
      <c r="M117" s="58"/>
      <c r="N117" s="105"/>
      <c r="O117" s="106"/>
      <c r="P117" s="107"/>
      <c r="Q117" s="107"/>
      <c r="R117" s="52"/>
    </row>
    <row r="118" spans="9:18" s="59" customFormat="1" x14ac:dyDescent="0.2">
      <c r="I118" s="58"/>
      <c r="J118" s="101"/>
      <c r="K118" s="101"/>
      <c r="L118" s="58"/>
      <c r="M118" s="58"/>
      <c r="N118" s="105"/>
      <c r="O118" s="106"/>
      <c r="P118" s="107"/>
      <c r="Q118" s="107"/>
      <c r="R118" s="52"/>
    </row>
    <row r="119" spans="9:18" s="59" customFormat="1" x14ac:dyDescent="0.2">
      <c r="I119" s="58"/>
      <c r="J119" s="101"/>
      <c r="K119" s="101"/>
      <c r="L119" s="58"/>
      <c r="M119" s="58"/>
      <c r="N119" s="105"/>
      <c r="O119" s="106"/>
      <c r="P119" s="107"/>
      <c r="Q119" s="107"/>
      <c r="R119" s="52"/>
    </row>
    <row r="120" spans="9:18" s="59" customFormat="1" x14ac:dyDescent="0.2">
      <c r="I120" s="58"/>
      <c r="J120" s="101"/>
      <c r="K120" s="101"/>
      <c r="L120" s="58"/>
      <c r="M120" s="58"/>
      <c r="N120" s="105"/>
      <c r="O120" s="106"/>
      <c r="P120" s="107"/>
      <c r="Q120" s="107"/>
      <c r="R120" s="52"/>
    </row>
    <row r="121" spans="9:18" s="59" customFormat="1" x14ac:dyDescent="0.2">
      <c r="I121" s="58"/>
      <c r="J121" s="101"/>
      <c r="K121" s="101"/>
      <c r="L121" s="58"/>
      <c r="M121" s="58"/>
      <c r="N121" s="105"/>
      <c r="O121" s="106"/>
      <c r="P121" s="107"/>
      <c r="Q121" s="107"/>
      <c r="R121" s="52"/>
    </row>
    <row r="122" spans="9:18" s="59" customFormat="1" x14ac:dyDescent="0.2">
      <c r="I122" s="58"/>
      <c r="J122" s="101"/>
      <c r="K122" s="101"/>
      <c r="L122" s="58"/>
      <c r="M122" s="58"/>
      <c r="N122" s="105"/>
      <c r="O122" s="106"/>
      <c r="P122" s="107"/>
      <c r="Q122" s="107"/>
      <c r="R122" s="52"/>
    </row>
    <row r="123" spans="9:18" s="59" customFormat="1" x14ac:dyDescent="0.2">
      <c r="I123" s="58"/>
      <c r="J123" s="101"/>
      <c r="K123" s="101"/>
      <c r="L123" s="58"/>
      <c r="M123" s="58"/>
      <c r="N123" s="105"/>
      <c r="O123" s="106"/>
      <c r="P123" s="107"/>
      <c r="Q123" s="107"/>
      <c r="R123" s="52"/>
    </row>
    <row r="124" spans="9:18" s="59" customFormat="1" x14ac:dyDescent="0.2">
      <c r="I124" s="58"/>
      <c r="J124" s="101"/>
      <c r="K124" s="101"/>
      <c r="L124" s="58"/>
      <c r="M124" s="58"/>
      <c r="N124" s="105"/>
      <c r="O124" s="106"/>
      <c r="P124" s="107"/>
      <c r="Q124" s="107"/>
      <c r="R124" s="52"/>
    </row>
    <row r="125" spans="9:18" s="59" customFormat="1" x14ac:dyDescent="0.2">
      <c r="I125" s="58"/>
      <c r="J125" s="101"/>
      <c r="K125" s="101"/>
      <c r="L125" s="58"/>
      <c r="M125" s="58"/>
      <c r="N125" s="105"/>
      <c r="O125" s="106"/>
      <c r="P125" s="107"/>
      <c r="Q125" s="107"/>
      <c r="R125" s="52"/>
    </row>
    <row r="126" spans="9:18" s="59" customFormat="1" x14ac:dyDescent="0.2">
      <c r="I126" s="58"/>
      <c r="J126" s="101"/>
      <c r="K126" s="101"/>
      <c r="L126" s="58"/>
      <c r="M126" s="58"/>
      <c r="N126" s="105"/>
      <c r="O126" s="106"/>
      <c r="P126" s="107"/>
      <c r="Q126" s="107"/>
      <c r="R126" s="52"/>
    </row>
    <row r="127" spans="9:18" s="59" customFormat="1" x14ac:dyDescent="0.2">
      <c r="I127" s="58"/>
      <c r="J127" s="101"/>
      <c r="K127" s="101"/>
      <c r="L127" s="58"/>
      <c r="M127" s="58"/>
      <c r="N127" s="105"/>
      <c r="O127" s="106"/>
      <c r="P127" s="107"/>
      <c r="Q127" s="107"/>
      <c r="R127" s="52"/>
    </row>
    <row r="128" spans="9:18" s="59" customFormat="1" x14ac:dyDescent="0.2">
      <c r="I128" s="58"/>
      <c r="J128" s="101"/>
      <c r="K128" s="101"/>
      <c r="L128" s="58"/>
      <c r="M128" s="58"/>
      <c r="N128" s="105"/>
      <c r="O128" s="106"/>
      <c r="P128" s="107"/>
      <c r="Q128" s="107"/>
      <c r="R128" s="52"/>
    </row>
    <row r="129" spans="9:18" s="59" customFormat="1" x14ac:dyDescent="0.2">
      <c r="I129" s="58"/>
      <c r="J129" s="101"/>
      <c r="K129" s="101"/>
      <c r="L129" s="58"/>
      <c r="M129" s="58"/>
      <c r="N129" s="105"/>
      <c r="O129" s="106"/>
      <c r="P129" s="107"/>
      <c r="Q129" s="107"/>
      <c r="R129" s="52"/>
    </row>
    <row r="130" spans="9:18" s="59" customFormat="1" x14ac:dyDescent="0.2">
      <c r="I130" s="58"/>
      <c r="J130" s="101"/>
      <c r="K130" s="101"/>
      <c r="L130" s="58"/>
      <c r="M130" s="58"/>
      <c r="N130" s="105"/>
      <c r="O130" s="106"/>
      <c r="P130" s="107"/>
      <c r="Q130" s="107"/>
      <c r="R130" s="52"/>
    </row>
    <row r="131" spans="9:18" s="59" customFormat="1" x14ac:dyDescent="0.2">
      <c r="I131" s="58"/>
      <c r="J131" s="101"/>
      <c r="K131" s="101"/>
      <c r="L131" s="58"/>
      <c r="M131" s="58"/>
      <c r="N131" s="105"/>
      <c r="O131" s="106"/>
      <c r="P131" s="107"/>
      <c r="Q131" s="107"/>
      <c r="R131" s="52"/>
    </row>
    <row r="132" spans="9:18" s="59" customFormat="1" x14ac:dyDescent="0.2">
      <c r="I132" s="58"/>
      <c r="J132" s="101"/>
      <c r="K132" s="101"/>
      <c r="L132" s="58"/>
      <c r="M132" s="58"/>
      <c r="N132" s="105"/>
      <c r="O132" s="106"/>
      <c r="P132" s="107"/>
      <c r="Q132" s="107"/>
      <c r="R132" s="52"/>
    </row>
    <row r="133" spans="9:18" s="59" customFormat="1" x14ac:dyDescent="0.2">
      <c r="I133" s="58"/>
      <c r="J133" s="101"/>
      <c r="K133" s="101"/>
      <c r="L133" s="58"/>
      <c r="M133" s="58"/>
      <c r="N133" s="105"/>
      <c r="O133" s="106"/>
      <c r="P133" s="107"/>
      <c r="Q133" s="107"/>
      <c r="R133" s="52"/>
    </row>
    <row r="134" spans="9:18" s="59" customFormat="1" x14ac:dyDescent="0.2">
      <c r="I134" s="58"/>
      <c r="J134" s="101"/>
      <c r="K134" s="101"/>
      <c r="L134" s="58"/>
      <c r="M134" s="58"/>
      <c r="N134" s="105"/>
      <c r="O134" s="106"/>
      <c r="P134" s="107"/>
      <c r="Q134" s="107"/>
      <c r="R134" s="52"/>
    </row>
    <row r="135" spans="9:18" s="59" customFormat="1" x14ac:dyDescent="0.2">
      <c r="I135" s="58"/>
      <c r="J135" s="101"/>
      <c r="K135" s="101"/>
      <c r="L135" s="58"/>
      <c r="M135" s="58"/>
      <c r="N135" s="105"/>
      <c r="O135" s="106"/>
      <c r="P135" s="107"/>
      <c r="Q135" s="107"/>
      <c r="R135" s="52"/>
    </row>
    <row r="136" spans="9:18" s="59" customFormat="1" x14ac:dyDescent="0.2">
      <c r="I136" s="58"/>
      <c r="J136" s="101"/>
      <c r="K136" s="101"/>
      <c r="L136" s="58"/>
      <c r="M136" s="58"/>
      <c r="N136" s="105"/>
      <c r="O136" s="106"/>
      <c r="P136" s="107"/>
      <c r="Q136" s="107"/>
      <c r="R136" s="52"/>
    </row>
    <row r="137" spans="9:18" s="59" customFormat="1" x14ac:dyDescent="0.2">
      <c r="I137" s="58"/>
      <c r="J137" s="101"/>
      <c r="K137" s="101"/>
      <c r="L137" s="58"/>
      <c r="M137" s="58"/>
      <c r="N137" s="105"/>
      <c r="O137" s="106"/>
      <c r="P137" s="107"/>
      <c r="Q137" s="107"/>
      <c r="R137" s="52"/>
    </row>
    <row r="138" spans="9:18" s="59" customFormat="1" x14ac:dyDescent="0.2">
      <c r="I138" s="58"/>
      <c r="J138" s="101"/>
      <c r="K138" s="101"/>
      <c r="L138" s="58"/>
      <c r="M138" s="58"/>
      <c r="N138" s="105"/>
      <c r="O138" s="106"/>
      <c r="P138" s="107"/>
      <c r="Q138" s="107"/>
      <c r="R138" s="52"/>
    </row>
    <row r="139" spans="9:18" s="59" customFormat="1" x14ac:dyDescent="0.2">
      <c r="I139" s="58"/>
      <c r="J139" s="101"/>
      <c r="K139" s="101"/>
      <c r="L139" s="58"/>
      <c r="M139" s="58"/>
      <c r="N139" s="105"/>
      <c r="O139" s="106"/>
      <c r="P139" s="107"/>
      <c r="Q139" s="107"/>
      <c r="R139" s="52"/>
    </row>
    <row r="140" spans="9:18" s="59" customFormat="1" x14ac:dyDescent="0.2">
      <c r="I140" s="58"/>
      <c r="J140" s="101"/>
      <c r="K140" s="101"/>
      <c r="L140" s="58"/>
      <c r="M140" s="58"/>
      <c r="N140" s="105"/>
      <c r="O140" s="106"/>
      <c r="P140" s="107"/>
      <c r="Q140" s="107"/>
      <c r="R140" s="52"/>
    </row>
    <row r="141" spans="9:18" s="59" customFormat="1" x14ac:dyDescent="0.2">
      <c r="I141" s="58"/>
      <c r="J141" s="101"/>
      <c r="K141" s="101"/>
      <c r="L141" s="58"/>
      <c r="M141" s="58"/>
      <c r="N141" s="105"/>
      <c r="O141" s="106"/>
      <c r="P141" s="107"/>
      <c r="Q141" s="107"/>
      <c r="R141" s="52"/>
    </row>
    <row r="142" spans="9:18" s="59" customFormat="1" x14ac:dyDescent="0.2">
      <c r="I142" s="58"/>
      <c r="J142" s="101"/>
      <c r="K142" s="101"/>
      <c r="L142" s="58"/>
      <c r="M142" s="58"/>
      <c r="N142" s="105"/>
      <c r="O142" s="106"/>
      <c r="P142" s="107"/>
      <c r="Q142" s="107"/>
      <c r="R142" s="52"/>
    </row>
    <row r="143" spans="9:18" s="59" customFormat="1" x14ac:dyDescent="0.2">
      <c r="I143" s="58"/>
      <c r="J143" s="101"/>
      <c r="K143" s="101"/>
      <c r="L143" s="58"/>
      <c r="M143" s="58"/>
      <c r="N143" s="105"/>
      <c r="O143" s="106"/>
      <c r="P143" s="107"/>
      <c r="Q143" s="107"/>
      <c r="R143" s="52"/>
    </row>
    <row r="144" spans="9:18" s="59" customFormat="1" x14ac:dyDescent="0.2">
      <c r="I144" s="58"/>
      <c r="J144" s="101"/>
      <c r="K144" s="101"/>
      <c r="L144" s="58"/>
      <c r="M144" s="58"/>
      <c r="N144" s="105"/>
      <c r="O144" s="106"/>
      <c r="P144" s="107"/>
      <c r="Q144" s="107"/>
      <c r="R144" s="52"/>
    </row>
    <row r="145" spans="9:18" s="59" customFormat="1" x14ac:dyDescent="0.2">
      <c r="I145" s="58"/>
      <c r="J145" s="101"/>
      <c r="K145" s="101"/>
      <c r="L145" s="58"/>
      <c r="M145" s="58"/>
      <c r="N145" s="105"/>
      <c r="O145" s="106"/>
      <c r="P145" s="107"/>
      <c r="Q145" s="107"/>
      <c r="R145" s="52"/>
    </row>
    <row r="146" spans="9:18" s="59" customFormat="1" x14ac:dyDescent="0.2">
      <c r="I146" s="58"/>
      <c r="J146" s="101"/>
      <c r="K146" s="101"/>
      <c r="L146" s="58"/>
      <c r="M146" s="58"/>
      <c r="N146" s="105"/>
      <c r="O146" s="106"/>
      <c r="P146" s="107"/>
      <c r="Q146" s="107"/>
      <c r="R146" s="52"/>
    </row>
    <row r="147" spans="9:18" s="59" customFormat="1" x14ac:dyDescent="0.2">
      <c r="I147" s="58"/>
      <c r="J147" s="101"/>
      <c r="K147" s="101"/>
      <c r="L147" s="58"/>
      <c r="M147" s="58"/>
      <c r="N147" s="105"/>
      <c r="O147" s="106"/>
      <c r="P147" s="107"/>
      <c r="Q147" s="107"/>
      <c r="R147" s="52"/>
    </row>
    <row r="148" spans="9:18" s="59" customFormat="1" x14ac:dyDescent="0.2">
      <c r="I148" s="58"/>
      <c r="J148" s="101"/>
      <c r="K148" s="101"/>
      <c r="L148" s="58"/>
      <c r="M148" s="58"/>
      <c r="N148" s="105"/>
      <c r="O148" s="106"/>
      <c r="P148" s="107"/>
      <c r="Q148" s="107"/>
      <c r="R148" s="52"/>
    </row>
    <row r="149" spans="9:18" s="59" customFormat="1" x14ac:dyDescent="0.2">
      <c r="I149" s="58"/>
      <c r="J149" s="101"/>
      <c r="K149" s="101"/>
      <c r="L149" s="58"/>
      <c r="M149" s="58"/>
      <c r="N149" s="105"/>
      <c r="O149" s="106"/>
      <c r="P149" s="107"/>
      <c r="Q149" s="107"/>
      <c r="R149" s="52"/>
    </row>
    <row r="150" spans="9:18" s="59" customFormat="1" x14ac:dyDescent="0.2">
      <c r="I150" s="58"/>
      <c r="J150" s="101"/>
      <c r="K150" s="101"/>
      <c r="L150" s="58"/>
      <c r="M150" s="58"/>
      <c r="N150" s="105"/>
      <c r="O150" s="106"/>
      <c r="P150" s="107"/>
      <c r="Q150" s="107"/>
      <c r="R150" s="52"/>
    </row>
    <row r="151" spans="9:18" s="59" customFormat="1" x14ac:dyDescent="0.2">
      <c r="I151" s="58"/>
      <c r="J151" s="101"/>
      <c r="K151" s="101"/>
      <c r="L151" s="58"/>
      <c r="M151" s="58"/>
      <c r="N151" s="105"/>
      <c r="O151" s="106"/>
      <c r="P151" s="107"/>
      <c r="Q151" s="107"/>
      <c r="R151" s="52"/>
    </row>
    <row r="152" spans="9:18" s="59" customFormat="1" x14ac:dyDescent="0.2">
      <c r="I152" s="58"/>
      <c r="J152" s="101"/>
      <c r="K152" s="101"/>
      <c r="L152" s="58"/>
      <c r="M152" s="58"/>
      <c r="N152" s="105"/>
      <c r="O152" s="106"/>
      <c r="P152" s="107"/>
      <c r="Q152" s="107"/>
      <c r="R152" s="52"/>
    </row>
    <row r="153" spans="9:18" s="59" customFormat="1" x14ac:dyDescent="0.2">
      <c r="I153" s="58"/>
      <c r="J153" s="101"/>
      <c r="K153" s="101"/>
      <c r="L153" s="58"/>
      <c r="M153" s="58"/>
      <c r="N153" s="105"/>
      <c r="O153" s="106"/>
      <c r="P153" s="107"/>
      <c r="Q153" s="107"/>
      <c r="R153" s="52"/>
    </row>
    <row r="154" spans="9:18" s="59" customFormat="1" x14ac:dyDescent="0.2">
      <c r="I154" s="58"/>
      <c r="J154" s="101"/>
      <c r="K154" s="101"/>
      <c r="L154" s="58"/>
      <c r="M154" s="58"/>
      <c r="N154" s="105"/>
      <c r="O154" s="106"/>
      <c r="P154" s="107"/>
      <c r="Q154" s="107"/>
      <c r="R154" s="52"/>
    </row>
    <row r="155" spans="9:18" s="59" customFormat="1" x14ac:dyDescent="0.2">
      <c r="I155" s="58"/>
      <c r="J155" s="101"/>
      <c r="K155" s="101"/>
      <c r="L155" s="58"/>
      <c r="M155" s="58"/>
      <c r="N155" s="105"/>
      <c r="O155" s="106"/>
      <c r="P155" s="107"/>
      <c r="Q155" s="107"/>
      <c r="R155" s="52"/>
    </row>
    <row r="156" spans="9:18" s="59" customFormat="1" x14ac:dyDescent="0.2">
      <c r="I156" s="58"/>
      <c r="J156" s="101"/>
      <c r="K156" s="101"/>
      <c r="L156" s="58"/>
      <c r="M156" s="58"/>
      <c r="N156" s="105"/>
      <c r="O156" s="106"/>
      <c r="P156" s="107"/>
      <c r="Q156" s="107"/>
      <c r="R156" s="52"/>
    </row>
    <row r="157" spans="9:18" s="59" customFormat="1" x14ac:dyDescent="0.2">
      <c r="I157" s="58"/>
      <c r="J157" s="101"/>
      <c r="K157" s="101"/>
      <c r="L157" s="58"/>
      <c r="M157" s="58"/>
      <c r="N157" s="105"/>
      <c r="O157" s="106"/>
      <c r="P157" s="107"/>
      <c r="Q157" s="107"/>
      <c r="R157" s="52"/>
    </row>
    <row r="158" spans="9:18" s="59" customFormat="1" x14ac:dyDescent="0.2">
      <c r="I158" s="58"/>
      <c r="J158" s="101"/>
      <c r="K158" s="101"/>
      <c r="L158" s="58"/>
      <c r="M158" s="58"/>
      <c r="N158" s="105"/>
      <c r="O158" s="106"/>
      <c r="P158" s="107"/>
      <c r="Q158" s="107"/>
      <c r="R158" s="52"/>
    </row>
    <row r="159" spans="9:18" s="59" customFormat="1" x14ac:dyDescent="0.2">
      <c r="I159" s="58"/>
      <c r="J159" s="101"/>
      <c r="K159" s="101"/>
      <c r="L159" s="58"/>
      <c r="M159" s="58"/>
      <c r="N159" s="105"/>
      <c r="O159" s="106"/>
      <c r="P159" s="107"/>
      <c r="Q159" s="107"/>
      <c r="R159" s="52"/>
    </row>
    <row r="160" spans="9:18" s="59" customFormat="1" x14ac:dyDescent="0.2">
      <c r="I160" s="58"/>
      <c r="J160" s="101"/>
      <c r="K160" s="101"/>
      <c r="L160" s="58"/>
      <c r="M160" s="58"/>
      <c r="N160" s="105"/>
      <c r="O160" s="106"/>
      <c r="P160" s="107"/>
      <c r="Q160" s="107"/>
      <c r="R160" s="52"/>
    </row>
    <row r="161" spans="9:18" s="59" customFormat="1" x14ac:dyDescent="0.2">
      <c r="I161" s="58"/>
      <c r="J161" s="101"/>
      <c r="K161" s="101"/>
      <c r="L161" s="58"/>
      <c r="M161" s="58"/>
      <c r="N161" s="105"/>
      <c r="O161" s="106"/>
      <c r="P161" s="107"/>
      <c r="Q161" s="107"/>
      <c r="R161" s="52"/>
    </row>
    <row r="162" spans="9:18" s="59" customFormat="1" x14ac:dyDescent="0.2">
      <c r="I162" s="58"/>
      <c r="J162" s="101"/>
      <c r="K162" s="101"/>
      <c r="L162" s="58"/>
      <c r="M162" s="58"/>
      <c r="N162" s="105"/>
      <c r="O162" s="106"/>
      <c r="P162" s="107"/>
      <c r="Q162" s="107"/>
      <c r="R162" s="52"/>
    </row>
    <row r="163" spans="9:18" s="59" customFormat="1" x14ac:dyDescent="0.2">
      <c r="I163" s="58"/>
      <c r="J163" s="101"/>
      <c r="K163" s="101"/>
      <c r="L163" s="58"/>
      <c r="M163" s="58"/>
      <c r="N163" s="105"/>
      <c r="O163" s="106"/>
      <c r="P163" s="107"/>
      <c r="Q163" s="107"/>
      <c r="R163" s="52"/>
    </row>
    <row r="164" spans="9:18" s="59" customFormat="1" x14ac:dyDescent="0.2">
      <c r="I164" s="58"/>
      <c r="J164" s="101"/>
      <c r="K164" s="101"/>
      <c r="L164" s="58"/>
      <c r="M164" s="58"/>
      <c r="N164" s="105"/>
      <c r="O164" s="106"/>
      <c r="P164" s="107"/>
      <c r="Q164" s="107"/>
      <c r="R164" s="52"/>
    </row>
    <row r="165" spans="9:18" s="59" customFormat="1" x14ac:dyDescent="0.2">
      <c r="I165" s="58"/>
      <c r="J165" s="101"/>
      <c r="K165" s="101"/>
      <c r="L165" s="58"/>
      <c r="M165" s="58"/>
      <c r="N165" s="105"/>
      <c r="O165" s="106"/>
      <c r="P165" s="107"/>
      <c r="Q165" s="107"/>
      <c r="R165" s="52"/>
    </row>
    <row r="166" spans="9:18" s="59" customFormat="1" x14ac:dyDescent="0.2">
      <c r="I166" s="58"/>
      <c r="J166" s="101"/>
      <c r="K166" s="101"/>
      <c r="L166" s="58"/>
      <c r="M166" s="58"/>
      <c r="N166" s="105"/>
      <c r="O166" s="106"/>
      <c r="P166" s="107"/>
      <c r="Q166" s="107"/>
      <c r="R166" s="52"/>
    </row>
    <row r="167" spans="9:18" s="59" customFormat="1" x14ac:dyDescent="0.2">
      <c r="I167" s="58"/>
      <c r="J167" s="101"/>
      <c r="K167" s="101"/>
      <c r="L167" s="58"/>
      <c r="M167" s="58"/>
      <c r="N167" s="105"/>
      <c r="O167" s="106"/>
      <c r="P167" s="107"/>
      <c r="Q167" s="107"/>
      <c r="R167" s="52"/>
    </row>
    <row r="168" spans="9:18" s="59" customFormat="1" x14ac:dyDescent="0.2">
      <c r="I168" s="58"/>
      <c r="J168" s="101"/>
      <c r="K168" s="101"/>
      <c r="L168" s="58"/>
      <c r="M168" s="58"/>
      <c r="N168" s="105"/>
      <c r="O168" s="106"/>
      <c r="P168" s="107"/>
      <c r="Q168" s="107"/>
      <c r="R168" s="52"/>
    </row>
    <row r="169" spans="9:18" s="59" customFormat="1" x14ac:dyDescent="0.2">
      <c r="I169" s="58"/>
      <c r="J169" s="101"/>
      <c r="K169" s="101"/>
      <c r="L169" s="58"/>
      <c r="M169" s="58"/>
      <c r="N169" s="105"/>
      <c r="O169" s="106"/>
      <c r="P169" s="107"/>
      <c r="Q169" s="107"/>
      <c r="R169" s="52"/>
    </row>
    <row r="170" spans="9:18" s="59" customFormat="1" x14ac:dyDescent="0.2">
      <c r="I170" s="58"/>
      <c r="J170" s="101"/>
      <c r="K170" s="101"/>
      <c r="L170" s="58"/>
      <c r="M170" s="58"/>
      <c r="N170" s="105"/>
      <c r="O170" s="106"/>
      <c r="P170" s="107"/>
      <c r="Q170" s="107"/>
      <c r="R170" s="52"/>
    </row>
    <row r="171" spans="9:18" s="59" customFormat="1" x14ac:dyDescent="0.2">
      <c r="I171" s="58"/>
      <c r="J171" s="101"/>
      <c r="K171" s="101"/>
      <c r="L171" s="58"/>
      <c r="M171" s="58"/>
      <c r="N171" s="105"/>
      <c r="O171" s="106"/>
      <c r="P171" s="107"/>
      <c r="Q171" s="107"/>
      <c r="R171" s="52"/>
    </row>
    <row r="172" spans="9:18" s="59" customFormat="1" x14ac:dyDescent="0.2">
      <c r="I172" s="58"/>
      <c r="J172" s="101"/>
      <c r="K172" s="101"/>
      <c r="L172" s="58"/>
      <c r="M172" s="58"/>
      <c r="N172" s="105"/>
      <c r="O172" s="106"/>
      <c r="P172" s="107"/>
      <c r="Q172" s="107"/>
      <c r="R172" s="52"/>
    </row>
    <row r="173" spans="9:18" s="59" customFormat="1" x14ac:dyDescent="0.2">
      <c r="I173" s="58"/>
      <c r="J173" s="101"/>
      <c r="K173" s="101"/>
      <c r="L173" s="58"/>
      <c r="M173" s="58"/>
      <c r="N173" s="105"/>
      <c r="O173" s="106"/>
      <c r="P173" s="107"/>
      <c r="Q173" s="107"/>
      <c r="R173" s="52"/>
    </row>
    <row r="174" spans="9:18" s="59" customFormat="1" x14ac:dyDescent="0.2">
      <c r="I174" s="58"/>
      <c r="J174" s="101"/>
      <c r="K174" s="101"/>
      <c r="L174" s="58"/>
      <c r="M174" s="58"/>
      <c r="N174" s="105"/>
      <c r="O174" s="106"/>
      <c r="P174" s="107"/>
      <c r="Q174" s="107"/>
      <c r="R174" s="52"/>
    </row>
    <row r="175" spans="9:18" s="59" customFormat="1" x14ac:dyDescent="0.2">
      <c r="I175" s="58"/>
      <c r="J175" s="101"/>
      <c r="K175" s="101"/>
      <c r="L175" s="58"/>
      <c r="M175" s="58"/>
      <c r="N175" s="105"/>
      <c r="O175" s="106"/>
      <c r="P175" s="107"/>
      <c r="Q175" s="107"/>
      <c r="R175" s="52"/>
    </row>
    <row r="176" spans="9:18" s="59" customFormat="1" x14ac:dyDescent="0.2">
      <c r="I176" s="58"/>
      <c r="J176" s="101"/>
      <c r="K176" s="101"/>
      <c r="L176" s="58"/>
      <c r="M176" s="58"/>
      <c r="N176" s="105"/>
      <c r="O176" s="106"/>
      <c r="P176" s="107"/>
      <c r="Q176" s="107"/>
      <c r="R176" s="52"/>
    </row>
    <row r="177" spans="9:18" s="59" customFormat="1" x14ac:dyDescent="0.2">
      <c r="I177" s="58"/>
      <c r="J177" s="101"/>
      <c r="K177" s="101"/>
      <c r="L177" s="58"/>
      <c r="M177" s="58"/>
      <c r="N177" s="105"/>
      <c r="O177" s="106"/>
      <c r="P177" s="107"/>
      <c r="Q177" s="107"/>
      <c r="R177" s="52"/>
    </row>
    <row r="178" spans="9:18" s="59" customFormat="1" x14ac:dyDescent="0.2">
      <c r="I178" s="58"/>
      <c r="J178" s="101"/>
      <c r="K178" s="101"/>
      <c r="L178" s="58"/>
      <c r="M178" s="58"/>
      <c r="N178" s="105"/>
      <c r="O178" s="106"/>
      <c r="P178" s="107"/>
      <c r="Q178" s="107"/>
      <c r="R178" s="52"/>
    </row>
    <row r="179" spans="9:18" s="59" customFormat="1" x14ac:dyDescent="0.2">
      <c r="I179" s="58"/>
      <c r="J179" s="101"/>
      <c r="K179" s="101"/>
      <c r="L179" s="58"/>
      <c r="M179" s="58"/>
      <c r="N179" s="105"/>
      <c r="O179" s="106"/>
      <c r="P179" s="107"/>
      <c r="Q179" s="107"/>
      <c r="R179" s="52"/>
    </row>
    <row r="180" spans="9:18" s="59" customFormat="1" x14ac:dyDescent="0.2">
      <c r="I180" s="58"/>
      <c r="J180" s="101"/>
      <c r="K180" s="101"/>
      <c r="L180" s="58"/>
      <c r="M180" s="58"/>
      <c r="N180" s="105"/>
      <c r="O180" s="106"/>
      <c r="P180" s="107"/>
      <c r="Q180" s="107"/>
      <c r="R180" s="52"/>
    </row>
    <row r="181" spans="9:18" s="59" customFormat="1" x14ac:dyDescent="0.2">
      <c r="I181" s="58"/>
      <c r="J181" s="101"/>
      <c r="K181" s="101"/>
      <c r="L181" s="58"/>
      <c r="M181" s="58"/>
      <c r="N181" s="105"/>
      <c r="O181" s="106"/>
      <c r="P181" s="107"/>
      <c r="Q181" s="107"/>
      <c r="R181" s="52"/>
    </row>
    <row r="182" spans="9:18" s="59" customFormat="1" x14ac:dyDescent="0.2">
      <c r="I182" s="58"/>
      <c r="J182" s="101"/>
      <c r="K182" s="101"/>
      <c r="L182" s="58"/>
      <c r="M182" s="58"/>
      <c r="N182" s="105"/>
      <c r="O182" s="106"/>
      <c r="P182" s="107"/>
      <c r="Q182" s="107"/>
      <c r="R182" s="52"/>
    </row>
    <row r="183" spans="9:18" s="59" customFormat="1" x14ac:dyDescent="0.2">
      <c r="I183" s="58"/>
      <c r="J183" s="101"/>
      <c r="K183" s="101"/>
      <c r="L183" s="58"/>
      <c r="M183" s="58"/>
      <c r="N183" s="105"/>
      <c r="O183" s="106"/>
      <c r="P183" s="107"/>
      <c r="Q183" s="107"/>
      <c r="R183" s="52"/>
    </row>
    <row r="184" spans="9:18" s="59" customFormat="1" x14ac:dyDescent="0.2">
      <c r="I184" s="58"/>
      <c r="J184" s="101"/>
      <c r="K184" s="101"/>
      <c r="L184" s="58"/>
      <c r="M184" s="58"/>
      <c r="N184" s="105"/>
      <c r="O184" s="106"/>
      <c r="P184" s="107"/>
      <c r="Q184" s="107"/>
      <c r="R184" s="52"/>
    </row>
    <row r="185" spans="9:18" s="59" customFormat="1" x14ac:dyDescent="0.2">
      <c r="I185" s="58"/>
      <c r="J185" s="101"/>
      <c r="K185" s="101"/>
      <c r="L185" s="58"/>
      <c r="M185" s="58"/>
      <c r="N185" s="105"/>
      <c r="O185" s="106"/>
      <c r="P185" s="107"/>
      <c r="Q185" s="107"/>
      <c r="R185" s="52"/>
    </row>
    <row r="186" spans="9:18" s="59" customFormat="1" x14ac:dyDescent="0.2">
      <c r="I186" s="58"/>
      <c r="J186" s="101"/>
      <c r="K186" s="101"/>
      <c r="L186" s="58"/>
      <c r="M186" s="58"/>
      <c r="N186" s="105"/>
      <c r="O186" s="106"/>
      <c r="P186" s="107"/>
      <c r="Q186" s="107"/>
      <c r="R186" s="52"/>
    </row>
    <row r="187" spans="9:18" s="59" customFormat="1" x14ac:dyDescent="0.2">
      <c r="I187" s="58"/>
      <c r="J187" s="101"/>
      <c r="K187" s="101"/>
      <c r="L187" s="58"/>
      <c r="M187" s="58"/>
      <c r="N187" s="105"/>
      <c r="O187" s="106"/>
      <c r="P187" s="107"/>
      <c r="Q187" s="107"/>
      <c r="R187" s="52"/>
    </row>
    <row r="188" spans="9:18" s="59" customFormat="1" x14ac:dyDescent="0.2">
      <c r="I188" s="58"/>
      <c r="J188" s="101"/>
      <c r="K188" s="101"/>
      <c r="L188" s="58"/>
      <c r="M188" s="58"/>
      <c r="N188" s="105"/>
      <c r="O188" s="106"/>
      <c r="P188" s="107"/>
      <c r="Q188" s="107"/>
      <c r="R188" s="52"/>
    </row>
    <row r="189" spans="9:18" s="59" customFormat="1" x14ac:dyDescent="0.2">
      <c r="I189" s="58"/>
      <c r="J189" s="101"/>
      <c r="K189" s="101"/>
      <c r="L189" s="58"/>
      <c r="M189" s="58"/>
      <c r="N189" s="105"/>
      <c r="O189" s="106"/>
      <c r="P189" s="107"/>
      <c r="Q189" s="107"/>
      <c r="R189" s="52"/>
    </row>
    <row r="190" spans="9:18" s="59" customFormat="1" x14ac:dyDescent="0.2">
      <c r="I190" s="58"/>
      <c r="J190" s="101"/>
      <c r="K190" s="101"/>
      <c r="L190" s="58"/>
      <c r="M190" s="58"/>
      <c r="N190" s="105"/>
      <c r="O190" s="106"/>
      <c r="P190" s="107"/>
      <c r="Q190" s="107"/>
      <c r="R190" s="52"/>
    </row>
    <row r="191" spans="9:18" s="59" customFormat="1" x14ac:dyDescent="0.2">
      <c r="I191" s="58"/>
      <c r="J191" s="101"/>
      <c r="K191" s="101"/>
      <c r="L191" s="58"/>
      <c r="M191" s="58"/>
      <c r="N191" s="105"/>
      <c r="O191" s="106"/>
      <c r="P191" s="107"/>
      <c r="Q191" s="107"/>
      <c r="R191" s="52"/>
    </row>
    <row r="192" spans="9:18" s="59" customFormat="1" x14ac:dyDescent="0.2">
      <c r="I192" s="58"/>
      <c r="J192" s="101"/>
      <c r="K192" s="101"/>
      <c r="L192" s="58"/>
      <c r="M192" s="58"/>
      <c r="N192" s="105"/>
      <c r="O192" s="106"/>
      <c r="P192" s="107"/>
      <c r="Q192" s="107"/>
      <c r="R192" s="52"/>
    </row>
    <row r="193" spans="9:18" s="59" customFormat="1" x14ac:dyDescent="0.2">
      <c r="I193" s="58"/>
      <c r="J193" s="101"/>
      <c r="K193" s="101"/>
      <c r="L193" s="58"/>
      <c r="M193" s="58"/>
      <c r="N193" s="105"/>
      <c r="O193" s="106"/>
      <c r="P193" s="107"/>
      <c r="Q193" s="107"/>
      <c r="R193" s="52"/>
    </row>
    <row r="194" spans="9:18" s="59" customFormat="1" x14ac:dyDescent="0.2">
      <c r="I194" s="58"/>
      <c r="J194" s="101"/>
      <c r="K194" s="101"/>
      <c r="L194" s="58"/>
      <c r="M194" s="58"/>
      <c r="N194" s="105"/>
      <c r="O194" s="106"/>
      <c r="P194" s="107"/>
      <c r="Q194" s="107"/>
      <c r="R194" s="52"/>
    </row>
    <row r="195" spans="9:18" s="59" customFormat="1" x14ac:dyDescent="0.2">
      <c r="I195" s="58"/>
      <c r="J195" s="101"/>
      <c r="K195" s="101"/>
      <c r="L195" s="58"/>
      <c r="M195" s="58"/>
      <c r="N195" s="105"/>
      <c r="O195" s="106"/>
      <c r="P195" s="107"/>
      <c r="Q195" s="107"/>
      <c r="R195" s="52"/>
    </row>
    <row r="196" spans="9:18" s="59" customFormat="1" x14ac:dyDescent="0.2">
      <c r="I196" s="58"/>
      <c r="J196" s="101"/>
      <c r="K196" s="101"/>
      <c r="L196" s="58"/>
      <c r="M196" s="58"/>
      <c r="N196" s="105"/>
      <c r="O196" s="106"/>
      <c r="P196" s="107"/>
      <c r="Q196" s="107"/>
      <c r="R196" s="52"/>
    </row>
  </sheetData>
  <sheetProtection selectLockedCells="1"/>
  <autoFilter ref="A7:Q76" xr:uid="{3B68263D-2ADD-44EC-8B71-26719DAA6761}"/>
  <mergeCells count="2">
    <mergeCell ref="A1:Q1"/>
    <mergeCell ref="J2:O2"/>
  </mergeCells>
  <phoneticPr fontId="50" type="noConversion"/>
  <printOptions horizontalCentered="1"/>
  <pageMargins left="0.19685039370078741" right="0.19685039370078741" top="0.78740157480314965" bottom="0.78740157480314965" header="0.51181102362204722" footer="0.51181102362204722"/>
  <pageSetup paperSize="8" scale="82" fitToHeight="0" orientation="landscape" r:id="rId1"/>
  <headerFooter alignWithMargins="0">
    <oddHeader>&amp;CAusschreibung Reinigung Gemeinde Oberhaching 2026</oddHeader>
    <oddFooter>&amp;CSeite &amp;P von &amp;N Seiten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51349-FB9F-4417-AE23-484D6E3A8204}">
  <sheetPr codeName="Tabelle25">
    <tabColor theme="6" tint="0.39997558519241921"/>
    <pageSetUpPr fitToPage="1"/>
  </sheetPr>
  <dimension ref="A1:U78"/>
  <sheetViews>
    <sheetView zoomScale="80" zoomScaleNormal="80" zoomScalePageLayoutView="80" workbookViewId="0">
      <selection activeCell="E4" sqref="E4"/>
    </sheetView>
  </sheetViews>
  <sheetFormatPr baseColWidth="10" defaultRowHeight="12.6" x14ac:dyDescent="0.2"/>
  <cols>
    <col min="1" max="1" width="11.5546875" style="52"/>
    <col min="2" max="2" width="15.6640625" style="52" customWidth="1"/>
    <col min="3" max="3" width="10.88671875" style="177" customWidth="1"/>
    <col min="4" max="4" width="24.5546875" style="177" customWidth="1"/>
    <col min="5" max="5" width="13.33203125" style="58" customWidth="1"/>
    <col min="6" max="6" width="10.5546875" style="105" hidden="1" customWidth="1"/>
    <col min="7" max="7" width="10.5546875" style="105" customWidth="1"/>
    <col min="8" max="8" width="14.109375" style="58" customWidth="1"/>
    <col min="9" max="9" width="10.33203125" style="52" hidden="1" customWidth="1"/>
    <col min="10" max="10" width="10.33203125" style="52" customWidth="1"/>
    <col min="11" max="11" width="12.77734375" style="52" customWidth="1"/>
    <col min="12" max="12" width="12.5546875" style="107" customWidth="1"/>
    <col min="13" max="13" width="10.44140625" style="107" hidden="1" customWidth="1"/>
    <col min="14" max="14" width="11.5546875" style="107" customWidth="1"/>
    <col min="15" max="15" width="18.21875" style="107" customWidth="1"/>
    <col min="16" max="17" width="11.5546875" style="52"/>
    <col min="18" max="18" width="13.88671875" style="52" bestFit="1" customWidth="1"/>
    <col min="19" max="255" width="11.5546875" style="52"/>
    <col min="256" max="256" width="8.33203125" style="52" customWidth="1"/>
    <col min="257" max="257" width="21.109375" style="52" bestFit="1" customWidth="1"/>
    <col min="258" max="258" width="7.88671875" style="52" customWidth="1"/>
    <col min="259" max="259" width="23.5546875" style="52" bestFit="1" customWidth="1"/>
    <col min="260" max="260" width="10.33203125" style="52" customWidth="1"/>
    <col min="261" max="261" width="13.109375" style="52" customWidth="1"/>
    <col min="262" max="263" width="9.88671875" style="52" customWidth="1"/>
    <col min="264" max="264" width="15.5546875" style="52" bestFit="1" customWidth="1"/>
    <col min="265" max="266" width="11" style="52" customWidth="1"/>
    <col min="267" max="267" width="11.5546875" style="52" customWidth="1"/>
    <col min="268" max="268" width="11.6640625" style="52" bestFit="1" customWidth="1"/>
    <col min="269" max="270" width="10.44140625" style="52" customWidth="1"/>
    <col min="271" max="271" width="15" style="52" bestFit="1" customWidth="1"/>
    <col min="272" max="273" width="11.5546875" style="52"/>
    <col min="274" max="274" width="13.88671875" style="52" bestFit="1" customWidth="1"/>
    <col min="275" max="511" width="11.5546875" style="52"/>
    <col min="512" max="512" width="8.33203125" style="52" customWidth="1"/>
    <col min="513" max="513" width="21.109375" style="52" bestFit="1" customWidth="1"/>
    <col min="514" max="514" width="7.88671875" style="52" customWidth="1"/>
    <col min="515" max="515" width="23.5546875" style="52" bestFit="1" customWidth="1"/>
    <col min="516" max="516" width="10.33203125" style="52" customWidth="1"/>
    <col min="517" max="517" width="13.109375" style="52" customWidth="1"/>
    <col min="518" max="519" width="9.88671875" style="52" customWidth="1"/>
    <col min="520" max="520" width="15.5546875" style="52" bestFit="1" customWidth="1"/>
    <col min="521" max="522" width="11" style="52" customWidth="1"/>
    <col min="523" max="523" width="11.5546875" style="52" customWidth="1"/>
    <col min="524" max="524" width="11.6640625" style="52" bestFit="1" customWidth="1"/>
    <col min="525" max="526" width="10.44140625" style="52" customWidth="1"/>
    <col min="527" max="527" width="15" style="52" bestFit="1" customWidth="1"/>
    <col min="528" max="529" width="11.5546875" style="52"/>
    <col min="530" max="530" width="13.88671875" style="52" bestFit="1" customWidth="1"/>
    <col min="531" max="767" width="11.5546875" style="52"/>
    <col min="768" max="768" width="8.33203125" style="52" customWidth="1"/>
    <col min="769" max="769" width="21.109375" style="52" bestFit="1" customWidth="1"/>
    <col min="770" max="770" width="7.88671875" style="52" customWidth="1"/>
    <col min="771" max="771" width="23.5546875" style="52" bestFit="1" customWidth="1"/>
    <col min="772" max="772" width="10.33203125" style="52" customWidth="1"/>
    <col min="773" max="773" width="13.109375" style="52" customWidth="1"/>
    <col min="774" max="775" width="9.88671875" style="52" customWidth="1"/>
    <col min="776" max="776" width="15.5546875" style="52" bestFit="1" customWidth="1"/>
    <col min="777" max="778" width="11" style="52" customWidth="1"/>
    <col min="779" max="779" width="11.5546875" style="52" customWidth="1"/>
    <col min="780" max="780" width="11.6640625" style="52" bestFit="1" customWidth="1"/>
    <col min="781" max="782" width="10.44140625" style="52" customWidth="1"/>
    <col min="783" max="783" width="15" style="52" bestFit="1" customWidth="1"/>
    <col min="784" max="785" width="11.5546875" style="52"/>
    <col min="786" max="786" width="13.88671875" style="52" bestFit="1" customWidth="1"/>
    <col min="787" max="1023" width="11.5546875" style="52"/>
    <col min="1024" max="1024" width="8.33203125" style="52" customWidth="1"/>
    <col min="1025" max="1025" width="21.109375" style="52" bestFit="1" customWidth="1"/>
    <col min="1026" max="1026" width="7.88671875" style="52" customWidth="1"/>
    <col min="1027" max="1027" width="23.5546875" style="52" bestFit="1" customWidth="1"/>
    <col min="1028" max="1028" width="10.33203125" style="52" customWidth="1"/>
    <col min="1029" max="1029" width="13.109375" style="52" customWidth="1"/>
    <col min="1030" max="1031" width="9.88671875" style="52" customWidth="1"/>
    <col min="1032" max="1032" width="15.5546875" style="52" bestFit="1" customWidth="1"/>
    <col min="1033" max="1034" width="11" style="52" customWidth="1"/>
    <col min="1035" max="1035" width="11.5546875" style="52" customWidth="1"/>
    <col min="1036" max="1036" width="11.6640625" style="52" bestFit="1" customWidth="1"/>
    <col min="1037" max="1038" width="10.44140625" style="52" customWidth="1"/>
    <col min="1039" max="1039" width="15" style="52" bestFit="1" customWidth="1"/>
    <col min="1040" max="1041" width="11.5546875" style="52"/>
    <col min="1042" max="1042" width="13.88671875" style="52" bestFit="1" customWidth="1"/>
    <col min="1043" max="1279" width="11.5546875" style="52"/>
    <col min="1280" max="1280" width="8.33203125" style="52" customWidth="1"/>
    <col min="1281" max="1281" width="21.109375" style="52" bestFit="1" customWidth="1"/>
    <col min="1282" max="1282" width="7.88671875" style="52" customWidth="1"/>
    <col min="1283" max="1283" width="23.5546875" style="52" bestFit="1" customWidth="1"/>
    <col min="1284" max="1284" width="10.33203125" style="52" customWidth="1"/>
    <col min="1285" max="1285" width="13.109375" style="52" customWidth="1"/>
    <col min="1286" max="1287" width="9.88671875" style="52" customWidth="1"/>
    <col min="1288" max="1288" width="15.5546875" style="52" bestFit="1" customWidth="1"/>
    <col min="1289" max="1290" width="11" style="52" customWidth="1"/>
    <col min="1291" max="1291" width="11.5546875" style="52" customWidth="1"/>
    <col min="1292" max="1292" width="11.6640625" style="52" bestFit="1" customWidth="1"/>
    <col min="1293" max="1294" width="10.44140625" style="52" customWidth="1"/>
    <col min="1295" max="1295" width="15" style="52" bestFit="1" customWidth="1"/>
    <col min="1296" max="1297" width="11.5546875" style="52"/>
    <col min="1298" max="1298" width="13.88671875" style="52" bestFit="1" customWidth="1"/>
    <col min="1299" max="1535" width="11.5546875" style="52"/>
    <col min="1536" max="1536" width="8.33203125" style="52" customWidth="1"/>
    <col min="1537" max="1537" width="21.109375" style="52" bestFit="1" customWidth="1"/>
    <col min="1538" max="1538" width="7.88671875" style="52" customWidth="1"/>
    <col min="1539" max="1539" width="23.5546875" style="52" bestFit="1" customWidth="1"/>
    <col min="1540" max="1540" width="10.33203125" style="52" customWidth="1"/>
    <col min="1541" max="1541" width="13.109375" style="52" customWidth="1"/>
    <col min="1542" max="1543" width="9.88671875" style="52" customWidth="1"/>
    <col min="1544" max="1544" width="15.5546875" style="52" bestFit="1" customWidth="1"/>
    <col min="1545" max="1546" width="11" style="52" customWidth="1"/>
    <col min="1547" max="1547" width="11.5546875" style="52" customWidth="1"/>
    <col min="1548" max="1548" width="11.6640625" style="52" bestFit="1" customWidth="1"/>
    <col min="1549" max="1550" width="10.44140625" style="52" customWidth="1"/>
    <col min="1551" max="1551" width="15" style="52" bestFit="1" customWidth="1"/>
    <col min="1552" max="1553" width="11.5546875" style="52"/>
    <col min="1554" max="1554" width="13.88671875" style="52" bestFit="1" customWidth="1"/>
    <col min="1555" max="1791" width="11.5546875" style="52"/>
    <col min="1792" max="1792" width="8.33203125" style="52" customWidth="1"/>
    <col min="1793" max="1793" width="21.109375" style="52" bestFit="1" customWidth="1"/>
    <col min="1794" max="1794" width="7.88671875" style="52" customWidth="1"/>
    <col min="1795" max="1795" width="23.5546875" style="52" bestFit="1" customWidth="1"/>
    <col min="1796" max="1796" width="10.33203125" style="52" customWidth="1"/>
    <col min="1797" max="1797" width="13.109375" style="52" customWidth="1"/>
    <col min="1798" max="1799" width="9.88671875" style="52" customWidth="1"/>
    <col min="1800" max="1800" width="15.5546875" style="52" bestFit="1" customWidth="1"/>
    <col min="1801" max="1802" width="11" style="52" customWidth="1"/>
    <col min="1803" max="1803" width="11.5546875" style="52" customWidth="1"/>
    <col min="1804" max="1804" width="11.6640625" style="52" bestFit="1" customWidth="1"/>
    <col min="1805" max="1806" width="10.44140625" style="52" customWidth="1"/>
    <col min="1807" max="1807" width="15" style="52" bestFit="1" customWidth="1"/>
    <col min="1808" max="1809" width="11.5546875" style="52"/>
    <col min="1810" max="1810" width="13.88671875" style="52" bestFit="1" customWidth="1"/>
    <col min="1811" max="2047" width="11.5546875" style="52"/>
    <col min="2048" max="2048" width="8.33203125" style="52" customWidth="1"/>
    <col min="2049" max="2049" width="21.109375" style="52" bestFit="1" customWidth="1"/>
    <col min="2050" max="2050" width="7.88671875" style="52" customWidth="1"/>
    <col min="2051" max="2051" width="23.5546875" style="52" bestFit="1" customWidth="1"/>
    <col min="2052" max="2052" width="10.33203125" style="52" customWidth="1"/>
    <col min="2053" max="2053" width="13.109375" style="52" customWidth="1"/>
    <col min="2054" max="2055" width="9.88671875" style="52" customWidth="1"/>
    <col min="2056" max="2056" width="15.5546875" style="52" bestFit="1" customWidth="1"/>
    <col min="2057" max="2058" width="11" style="52" customWidth="1"/>
    <col min="2059" max="2059" width="11.5546875" style="52" customWidth="1"/>
    <col min="2060" max="2060" width="11.6640625" style="52" bestFit="1" customWidth="1"/>
    <col min="2061" max="2062" width="10.44140625" style="52" customWidth="1"/>
    <col min="2063" max="2063" width="15" style="52" bestFit="1" customWidth="1"/>
    <col min="2064" max="2065" width="11.5546875" style="52"/>
    <col min="2066" max="2066" width="13.88671875" style="52" bestFit="1" customWidth="1"/>
    <col min="2067" max="2303" width="11.5546875" style="52"/>
    <col min="2304" max="2304" width="8.33203125" style="52" customWidth="1"/>
    <col min="2305" max="2305" width="21.109375" style="52" bestFit="1" customWidth="1"/>
    <col min="2306" max="2306" width="7.88671875" style="52" customWidth="1"/>
    <col min="2307" max="2307" width="23.5546875" style="52" bestFit="1" customWidth="1"/>
    <col min="2308" max="2308" width="10.33203125" style="52" customWidth="1"/>
    <col min="2309" max="2309" width="13.109375" style="52" customWidth="1"/>
    <col min="2310" max="2311" width="9.88671875" style="52" customWidth="1"/>
    <col min="2312" max="2312" width="15.5546875" style="52" bestFit="1" customWidth="1"/>
    <col min="2313" max="2314" width="11" style="52" customWidth="1"/>
    <col min="2315" max="2315" width="11.5546875" style="52" customWidth="1"/>
    <col min="2316" max="2316" width="11.6640625" style="52" bestFit="1" customWidth="1"/>
    <col min="2317" max="2318" width="10.44140625" style="52" customWidth="1"/>
    <col min="2319" max="2319" width="15" style="52" bestFit="1" customWidth="1"/>
    <col min="2320" max="2321" width="11.5546875" style="52"/>
    <col min="2322" max="2322" width="13.88671875" style="52" bestFit="1" customWidth="1"/>
    <col min="2323" max="2559" width="11.5546875" style="52"/>
    <col min="2560" max="2560" width="8.33203125" style="52" customWidth="1"/>
    <col min="2561" max="2561" width="21.109375" style="52" bestFit="1" customWidth="1"/>
    <col min="2562" max="2562" width="7.88671875" style="52" customWidth="1"/>
    <col min="2563" max="2563" width="23.5546875" style="52" bestFit="1" customWidth="1"/>
    <col min="2564" max="2564" width="10.33203125" style="52" customWidth="1"/>
    <col min="2565" max="2565" width="13.109375" style="52" customWidth="1"/>
    <col min="2566" max="2567" width="9.88671875" style="52" customWidth="1"/>
    <col min="2568" max="2568" width="15.5546875" style="52" bestFit="1" customWidth="1"/>
    <col min="2569" max="2570" width="11" style="52" customWidth="1"/>
    <col min="2571" max="2571" width="11.5546875" style="52" customWidth="1"/>
    <col min="2572" max="2572" width="11.6640625" style="52" bestFit="1" customWidth="1"/>
    <col min="2573" max="2574" width="10.44140625" style="52" customWidth="1"/>
    <col min="2575" max="2575" width="15" style="52" bestFit="1" customWidth="1"/>
    <col min="2576" max="2577" width="11.5546875" style="52"/>
    <col min="2578" max="2578" width="13.88671875" style="52" bestFit="1" customWidth="1"/>
    <col min="2579" max="2815" width="11.5546875" style="52"/>
    <col min="2816" max="2816" width="8.33203125" style="52" customWidth="1"/>
    <col min="2817" max="2817" width="21.109375" style="52" bestFit="1" customWidth="1"/>
    <col min="2818" max="2818" width="7.88671875" style="52" customWidth="1"/>
    <col min="2819" max="2819" width="23.5546875" style="52" bestFit="1" customWidth="1"/>
    <col min="2820" max="2820" width="10.33203125" style="52" customWidth="1"/>
    <col min="2821" max="2821" width="13.109375" style="52" customWidth="1"/>
    <col min="2822" max="2823" width="9.88671875" style="52" customWidth="1"/>
    <col min="2824" max="2824" width="15.5546875" style="52" bestFit="1" customWidth="1"/>
    <col min="2825" max="2826" width="11" style="52" customWidth="1"/>
    <col min="2827" max="2827" width="11.5546875" style="52" customWidth="1"/>
    <col min="2828" max="2828" width="11.6640625" style="52" bestFit="1" customWidth="1"/>
    <col min="2829" max="2830" width="10.44140625" style="52" customWidth="1"/>
    <col min="2831" max="2831" width="15" style="52" bestFit="1" customWidth="1"/>
    <col min="2832" max="2833" width="11.5546875" style="52"/>
    <col min="2834" max="2834" width="13.88671875" style="52" bestFit="1" customWidth="1"/>
    <col min="2835" max="3071" width="11.5546875" style="52"/>
    <col min="3072" max="3072" width="8.33203125" style="52" customWidth="1"/>
    <col min="3073" max="3073" width="21.109375" style="52" bestFit="1" customWidth="1"/>
    <col min="3074" max="3074" width="7.88671875" style="52" customWidth="1"/>
    <col min="3075" max="3075" width="23.5546875" style="52" bestFit="1" customWidth="1"/>
    <col min="3076" max="3076" width="10.33203125" style="52" customWidth="1"/>
    <col min="3077" max="3077" width="13.109375" style="52" customWidth="1"/>
    <col min="3078" max="3079" width="9.88671875" style="52" customWidth="1"/>
    <col min="3080" max="3080" width="15.5546875" style="52" bestFit="1" customWidth="1"/>
    <col min="3081" max="3082" width="11" style="52" customWidth="1"/>
    <col min="3083" max="3083" width="11.5546875" style="52" customWidth="1"/>
    <col min="3084" max="3084" width="11.6640625" style="52" bestFit="1" customWidth="1"/>
    <col min="3085" max="3086" width="10.44140625" style="52" customWidth="1"/>
    <col min="3087" max="3087" width="15" style="52" bestFit="1" customWidth="1"/>
    <col min="3088" max="3089" width="11.5546875" style="52"/>
    <col min="3090" max="3090" width="13.88671875" style="52" bestFit="1" customWidth="1"/>
    <col min="3091" max="3327" width="11.5546875" style="52"/>
    <col min="3328" max="3328" width="8.33203125" style="52" customWidth="1"/>
    <col min="3329" max="3329" width="21.109375" style="52" bestFit="1" customWidth="1"/>
    <col min="3330" max="3330" width="7.88671875" style="52" customWidth="1"/>
    <col min="3331" max="3331" width="23.5546875" style="52" bestFit="1" customWidth="1"/>
    <col min="3332" max="3332" width="10.33203125" style="52" customWidth="1"/>
    <col min="3333" max="3333" width="13.109375" style="52" customWidth="1"/>
    <col min="3334" max="3335" width="9.88671875" style="52" customWidth="1"/>
    <col min="3336" max="3336" width="15.5546875" style="52" bestFit="1" customWidth="1"/>
    <col min="3337" max="3338" width="11" style="52" customWidth="1"/>
    <col min="3339" max="3339" width="11.5546875" style="52" customWidth="1"/>
    <col min="3340" max="3340" width="11.6640625" style="52" bestFit="1" customWidth="1"/>
    <col min="3341" max="3342" width="10.44140625" style="52" customWidth="1"/>
    <col min="3343" max="3343" width="15" style="52" bestFit="1" customWidth="1"/>
    <col min="3344" max="3345" width="11.5546875" style="52"/>
    <col min="3346" max="3346" width="13.88671875" style="52" bestFit="1" customWidth="1"/>
    <col min="3347" max="3583" width="11.5546875" style="52"/>
    <col min="3584" max="3584" width="8.33203125" style="52" customWidth="1"/>
    <col min="3585" max="3585" width="21.109375" style="52" bestFit="1" customWidth="1"/>
    <col min="3586" max="3586" width="7.88671875" style="52" customWidth="1"/>
    <col min="3587" max="3587" width="23.5546875" style="52" bestFit="1" customWidth="1"/>
    <col min="3588" max="3588" width="10.33203125" style="52" customWidth="1"/>
    <col min="3589" max="3589" width="13.109375" style="52" customWidth="1"/>
    <col min="3590" max="3591" width="9.88671875" style="52" customWidth="1"/>
    <col min="3592" max="3592" width="15.5546875" style="52" bestFit="1" customWidth="1"/>
    <col min="3593" max="3594" width="11" style="52" customWidth="1"/>
    <col min="3595" max="3595" width="11.5546875" style="52" customWidth="1"/>
    <col min="3596" max="3596" width="11.6640625" style="52" bestFit="1" customWidth="1"/>
    <col min="3597" max="3598" width="10.44140625" style="52" customWidth="1"/>
    <col min="3599" max="3599" width="15" style="52" bestFit="1" customWidth="1"/>
    <col min="3600" max="3601" width="11.5546875" style="52"/>
    <col min="3602" max="3602" width="13.88671875" style="52" bestFit="1" customWidth="1"/>
    <col min="3603" max="3839" width="11.5546875" style="52"/>
    <col min="3840" max="3840" width="8.33203125" style="52" customWidth="1"/>
    <col min="3841" max="3841" width="21.109375" style="52" bestFit="1" customWidth="1"/>
    <col min="3842" max="3842" width="7.88671875" style="52" customWidth="1"/>
    <col min="3843" max="3843" width="23.5546875" style="52" bestFit="1" customWidth="1"/>
    <col min="3844" max="3844" width="10.33203125" style="52" customWidth="1"/>
    <col min="3845" max="3845" width="13.109375" style="52" customWidth="1"/>
    <col min="3846" max="3847" width="9.88671875" style="52" customWidth="1"/>
    <col min="3848" max="3848" width="15.5546875" style="52" bestFit="1" customWidth="1"/>
    <col min="3849" max="3850" width="11" style="52" customWidth="1"/>
    <col min="3851" max="3851" width="11.5546875" style="52" customWidth="1"/>
    <col min="3852" max="3852" width="11.6640625" style="52" bestFit="1" customWidth="1"/>
    <col min="3853" max="3854" width="10.44140625" style="52" customWidth="1"/>
    <col min="3855" max="3855" width="15" style="52" bestFit="1" customWidth="1"/>
    <col min="3856" max="3857" width="11.5546875" style="52"/>
    <col min="3858" max="3858" width="13.88671875" style="52" bestFit="1" customWidth="1"/>
    <col min="3859" max="4095" width="11.5546875" style="52"/>
    <col min="4096" max="4096" width="8.33203125" style="52" customWidth="1"/>
    <col min="4097" max="4097" width="21.109375" style="52" bestFit="1" customWidth="1"/>
    <col min="4098" max="4098" width="7.88671875" style="52" customWidth="1"/>
    <col min="4099" max="4099" width="23.5546875" style="52" bestFit="1" customWidth="1"/>
    <col min="4100" max="4100" width="10.33203125" style="52" customWidth="1"/>
    <col min="4101" max="4101" width="13.109375" style="52" customWidth="1"/>
    <col min="4102" max="4103" width="9.88671875" style="52" customWidth="1"/>
    <col min="4104" max="4104" width="15.5546875" style="52" bestFit="1" customWidth="1"/>
    <col min="4105" max="4106" width="11" style="52" customWidth="1"/>
    <col min="4107" max="4107" width="11.5546875" style="52" customWidth="1"/>
    <col min="4108" max="4108" width="11.6640625" style="52" bestFit="1" customWidth="1"/>
    <col min="4109" max="4110" width="10.44140625" style="52" customWidth="1"/>
    <col min="4111" max="4111" width="15" style="52" bestFit="1" customWidth="1"/>
    <col min="4112" max="4113" width="11.5546875" style="52"/>
    <col min="4114" max="4114" width="13.88671875" style="52" bestFit="1" customWidth="1"/>
    <col min="4115" max="4351" width="11.5546875" style="52"/>
    <col min="4352" max="4352" width="8.33203125" style="52" customWidth="1"/>
    <col min="4353" max="4353" width="21.109375" style="52" bestFit="1" customWidth="1"/>
    <col min="4354" max="4354" width="7.88671875" style="52" customWidth="1"/>
    <col min="4355" max="4355" width="23.5546875" style="52" bestFit="1" customWidth="1"/>
    <col min="4356" max="4356" width="10.33203125" style="52" customWidth="1"/>
    <col min="4357" max="4357" width="13.109375" style="52" customWidth="1"/>
    <col min="4358" max="4359" width="9.88671875" style="52" customWidth="1"/>
    <col min="4360" max="4360" width="15.5546875" style="52" bestFit="1" customWidth="1"/>
    <col min="4361" max="4362" width="11" style="52" customWidth="1"/>
    <col min="4363" max="4363" width="11.5546875" style="52" customWidth="1"/>
    <col min="4364" max="4364" width="11.6640625" style="52" bestFit="1" customWidth="1"/>
    <col min="4365" max="4366" width="10.44140625" style="52" customWidth="1"/>
    <col min="4367" max="4367" width="15" style="52" bestFit="1" customWidth="1"/>
    <col min="4368" max="4369" width="11.5546875" style="52"/>
    <col min="4370" max="4370" width="13.88671875" style="52" bestFit="1" customWidth="1"/>
    <col min="4371" max="4607" width="11.5546875" style="52"/>
    <col min="4608" max="4608" width="8.33203125" style="52" customWidth="1"/>
    <col min="4609" max="4609" width="21.109375" style="52" bestFit="1" customWidth="1"/>
    <col min="4610" max="4610" width="7.88671875" style="52" customWidth="1"/>
    <col min="4611" max="4611" width="23.5546875" style="52" bestFit="1" customWidth="1"/>
    <col min="4612" max="4612" width="10.33203125" style="52" customWidth="1"/>
    <col min="4613" max="4613" width="13.109375" style="52" customWidth="1"/>
    <col min="4614" max="4615" width="9.88671875" style="52" customWidth="1"/>
    <col min="4616" max="4616" width="15.5546875" style="52" bestFit="1" customWidth="1"/>
    <col min="4617" max="4618" width="11" style="52" customWidth="1"/>
    <col min="4619" max="4619" width="11.5546875" style="52" customWidth="1"/>
    <col min="4620" max="4620" width="11.6640625" style="52" bestFit="1" customWidth="1"/>
    <col min="4621" max="4622" width="10.44140625" style="52" customWidth="1"/>
    <col min="4623" max="4623" width="15" style="52" bestFit="1" customWidth="1"/>
    <col min="4624" max="4625" width="11.5546875" style="52"/>
    <col min="4626" max="4626" width="13.88671875" style="52" bestFit="1" customWidth="1"/>
    <col min="4627" max="4863" width="11.5546875" style="52"/>
    <col min="4864" max="4864" width="8.33203125" style="52" customWidth="1"/>
    <col min="4865" max="4865" width="21.109375" style="52" bestFit="1" customWidth="1"/>
    <col min="4866" max="4866" width="7.88671875" style="52" customWidth="1"/>
    <col min="4867" max="4867" width="23.5546875" style="52" bestFit="1" customWidth="1"/>
    <col min="4868" max="4868" width="10.33203125" style="52" customWidth="1"/>
    <col min="4869" max="4869" width="13.109375" style="52" customWidth="1"/>
    <col min="4870" max="4871" width="9.88671875" style="52" customWidth="1"/>
    <col min="4872" max="4872" width="15.5546875" style="52" bestFit="1" customWidth="1"/>
    <col min="4873" max="4874" width="11" style="52" customWidth="1"/>
    <col min="4875" max="4875" width="11.5546875" style="52" customWidth="1"/>
    <col min="4876" max="4876" width="11.6640625" style="52" bestFit="1" customWidth="1"/>
    <col min="4877" max="4878" width="10.44140625" style="52" customWidth="1"/>
    <col min="4879" max="4879" width="15" style="52" bestFit="1" customWidth="1"/>
    <col min="4880" max="4881" width="11.5546875" style="52"/>
    <col min="4882" max="4882" width="13.88671875" style="52" bestFit="1" customWidth="1"/>
    <col min="4883" max="5119" width="11.5546875" style="52"/>
    <col min="5120" max="5120" width="8.33203125" style="52" customWidth="1"/>
    <col min="5121" max="5121" width="21.109375" style="52" bestFit="1" customWidth="1"/>
    <col min="5122" max="5122" width="7.88671875" style="52" customWidth="1"/>
    <col min="5123" max="5123" width="23.5546875" style="52" bestFit="1" customWidth="1"/>
    <col min="5124" max="5124" width="10.33203125" style="52" customWidth="1"/>
    <col min="5125" max="5125" width="13.109375" style="52" customWidth="1"/>
    <col min="5126" max="5127" width="9.88671875" style="52" customWidth="1"/>
    <col min="5128" max="5128" width="15.5546875" style="52" bestFit="1" customWidth="1"/>
    <col min="5129" max="5130" width="11" style="52" customWidth="1"/>
    <col min="5131" max="5131" width="11.5546875" style="52" customWidth="1"/>
    <col min="5132" max="5132" width="11.6640625" style="52" bestFit="1" customWidth="1"/>
    <col min="5133" max="5134" width="10.44140625" style="52" customWidth="1"/>
    <col min="5135" max="5135" width="15" style="52" bestFit="1" customWidth="1"/>
    <col min="5136" max="5137" width="11.5546875" style="52"/>
    <col min="5138" max="5138" width="13.88671875" style="52" bestFit="1" customWidth="1"/>
    <col min="5139" max="5375" width="11.5546875" style="52"/>
    <col min="5376" max="5376" width="8.33203125" style="52" customWidth="1"/>
    <col min="5377" max="5377" width="21.109375" style="52" bestFit="1" customWidth="1"/>
    <col min="5378" max="5378" width="7.88671875" style="52" customWidth="1"/>
    <col min="5379" max="5379" width="23.5546875" style="52" bestFit="1" customWidth="1"/>
    <col min="5380" max="5380" width="10.33203125" style="52" customWidth="1"/>
    <col min="5381" max="5381" width="13.109375" style="52" customWidth="1"/>
    <col min="5382" max="5383" width="9.88671875" style="52" customWidth="1"/>
    <col min="5384" max="5384" width="15.5546875" style="52" bestFit="1" customWidth="1"/>
    <col min="5385" max="5386" width="11" style="52" customWidth="1"/>
    <col min="5387" max="5387" width="11.5546875" style="52" customWidth="1"/>
    <col min="5388" max="5388" width="11.6640625" style="52" bestFit="1" customWidth="1"/>
    <col min="5389" max="5390" width="10.44140625" style="52" customWidth="1"/>
    <col min="5391" max="5391" width="15" style="52" bestFit="1" customWidth="1"/>
    <col min="5392" max="5393" width="11.5546875" style="52"/>
    <col min="5394" max="5394" width="13.88671875" style="52" bestFit="1" customWidth="1"/>
    <col min="5395" max="5631" width="11.5546875" style="52"/>
    <col min="5632" max="5632" width="8.33203125" style="52" customWidth="1"/>
    <col min="5633" max="5633" width="21.109375" style="52" bestFit="1" customWidth="1"/>
    <col min="5634" max="5634" width="7.88671875" style="52" customWidth="1"/>
    <col min="5635" max="5635" width="23.5546875" style="52" bestFit="1" customWidth="1"/>
    <col min="5636" max="5636" width="10.33203125" style="52" customWidth="1"/>
    <col min="5637" max="5637" width="13.109375" style="52" customWidth="1"/>
    <col min="5638" max="5639" width="9.88671875" style="52" customWidth="1"/>
    <col min="5640" max="5640" width="15.5546875" style="52" bestFit="1" customWidth="1"/>
    <col min="5641" max="5642" width="11" style="52" customWidth="1"/>
    <col min="5643" max="5643" width="11.5546875" style="52" customWidth="1"/>
    <col min="5644" max="5644" width="11.6640625" style="52" bestFit="1" customWidth="1"/>
    <col min="5645" max="5646" width="10.44140625" style="52" customWidth="1"/>
    <col min="5647" max="5647" width="15" style="52" bestFit="1" customWidth="1"/>
    <col min="5648" max="5649" width="11.5546875" style="52"/>
    <col min="5650" max="5650" width="13.88671875" style="52" bestFit="1" customWidth="1"/>
    <col min="5651" max="5887" width="11.5546875" style="52"/>
    <col min="5888" max="5888" width="8.33203125" style="52" customWidth="1"/>
    <col min="5889" max="5889" width="21.109375" style="52" bestFit="1" customWidth="1"/>
    <col min="5890" max="5890" width="7.88671875" style="52" customWidth="1"/>
    <col min="5891" max="5891" width="23.5546875" style="52" bestFit="1" customWidth="1"/>
    <col min="5892" max="5892" width="10.33203125" style="52" customWidth="1"/>
    <col min="5893" max="5893" width="13.109375" style="52" customWidth="1"/>
    <col min="5894" max="5895" width="9.88671875" style="52" customWidth="1"/>
    <col min="5896" max="5896" width="15.5546875" style="52" bestFit="1" customWidth="1"/>
    <col min="5897" max="5898" width="11" style="52" customWidth="1"/>
    <col min="5899" max="5899" width="11.5546875" style="52" customWidth="1"/>
    <col min="5900" max="5900" width="11.6640625" style="52" bestFit="1" customWidth="1"/>
    <col min="5901" max="5902" width="10.44140625" style="52" customWidth="1"/>
    <col min="5903" max="5903" width="15" style="52" bestFit="1" customWidth="1"/>
    <col min="5904" max="5905" width="11.5546875" style="52"/>
    <col min="5906" max="5906" width="13.88671875" style="52" bestFit="1" customWidth="1"/>
    <col min="5907" max="6143" width="11.5546875" style="52"/>
    <col min="6144" max="6144" width="8.33203125" style="52" customWidth="1"/>
    <col min="6145" max="6145" width="21.109375" style="52" bestFit="1" customWidth="1"/>
    <col min="6146" max="6146" width="7.88671875" style="52" customWidth="1"/>
    <col min="6147" max="6147" width="23.5546875" style="52" bestFit="1" customWidth="1"/>
    <col min="6148" max="6148" width="10.33203125" style="52" customWidth="1"/>
    <col min="6149" max="6149" width="13.109375" style="52" customWidth="1"/>
    <col min="6150" max="6151" width="9.88671875" style="52" customWidth="1"/>
    <col min="6152" max="6152" width="15.5546875" style="52" bestFit="1" customWidth="1"/>
    <col min="6153" max="6154" width="11" style="52" customWidth="1"/>
    <col min="6155" max="6155" width="11.5546875" style="52" customWidth="1"/>
    <col min="6156" max="6156" width="11.6640625" style="52" bestFit="1" customWidth="1"/>
    <col min="6157" max="6158" width="10.44140625" style="52" customWidth="1"/>
    <col min="6159" max="6159" width="15" style="52" bestFit="1" customWidth="1"/>
    <col min="6160" max="6161" width="11.5546875" style="52"/>
    <col min="6162" max="6162" width="13.88671875" style="52" bestFit="1" customWidth="1"/>
    <col min="6163" max="6399" width="11.5546875" style="52"/>
    <col min="6400" max="6400" width="8.33203125" style="52" customWidth="1"/>
    <col min="6401" max="6401" width="21.109375" style="52" bestFit="1" customWidth="1"/>
    <col min="6402" max="6402" width="7.88671875" style="52" customWidth="1"/>
    <col min="6403" max="6403" width="23.5546875" style="52" bestFit="1" customWidth="1"/>
    <col min="6404" max="6404" width="10.33203125" style="52" customWidth="1"/>
    <col min="6405" max="6405" width="13.109375" style="52" customWidth="1"/>
    <col min="6406" max="6407" width="9.88671875" style="52" customWidth="1"/>
    <col min="6408" max="6408" width="15.5546875" style="52" bestFit="1" customWidth="1"/>
    <col min="6409" max="6410" width="11" style="52" customWidth="1"/>
    <col min="6411" max="6411" width="11.5546875" style="52" customWidth="1"/>
    <col min="6412" max="6412" width="11.6640625" style="52" bestFit="1" customWidth="1"/>
    <col min="6413" max="6414" width="10.44140625" style="52" customWidth="1"/>
    <col min="6415" max="6415" width="15" style="52" bestFit="1" customWidth="1"/>
    <col min="6416" max="6417" width="11.5546875" style="52"/>
    <col min="6418" max="6418" width="13.88671875" style="52" bestFit="1" customWidth="1"/>
    <col min="6419" max="6655" width="11.5546875" style="52"/>
    <col min="6656" max="6656" width="8.33203125" style="52" customWidth="1"/>
    <col min="6657" max="6657" width="21.109375" style="52" bestFit="1" customWidth="1"/>
    <col min="6658" max="6658" width="7.88671875" style="52" customWidth="1"/>
    <col min="6659" max="6659" width="23.5546875" style="52" bestFit="1" customWidth="1"/>
    <col min="6660" max="6660" width="10.33203125" style="52" customWidth="1"/>
    <col min="6661" max="6661" width="13.109375" style="52" customWidth="1"/>
    <col min="6662" max="6663" width="9.88671875" style="52" customWidth="1"/>
    <col min="6664" max="6664" width="15.5546875" style="52" bestFit="1" customWidth="1"/>
    <col min="6665" max="6666" width="11" style="52" customWidth="1"/>
    <col min="6667" max="6667" width="11.5546875" style="52" customWidth="1"/>
    <col min="6668" max="6668" width="11.6640625" style="52" bestFit="1" customWidth="1"/>
    <col min="6669" max="6670" width="10.44140625" style="52" customWidth="1"/>
    <col min="6671" max="6671" width="15" style="52" bestFit="1" customWidth="1"/>
    <col min="6672" max="6673" width="11.5546875" style="52"/>
    <col min="6674" max="6674" width="13.88671875" style="52" bestFit="1" customWidth="1"/>
    <col min="6675" max="6911" width="11.5546875" style="52"/>
    <col min="6912" max="6912" width="8.33203125" style="52" customWidth="1"/>
    <col min="6913" max="6913" width="21.109375" style="52" bestFit="1" customWidth="1"/>
    <col min="6914" max="6914" width="7.88671875" style="52" customWidth="1"/>
    <col min="6915" max="6915" width="23.5546875" style="52" bestFit="1" customWidth="1"/>
    <col min="6916" max="6916" width="10.33203125" style="52" customWidth="1"/>
    <col min="6917" max="6917" width="13.109375" style="52" customWidth="1"/>
    <col min="6918" max="6919" width="9.88671875" style="52" customWidth="1"/>
    <col min="6920" max="6920" width="15.5546875" style="52" bestFit="1" customWidth="1"/>
    <col min="6921" max="6922" width="11" style="52" customWidth="1"/>
    <col min="6923" max="6923" width="11.5546875" style="52" customWidth="1"/>
    <col min="6924" max="6924" width="11.6640625" style="52" bestFit="1" customWidth="1"/>
    <col min="6925" max="6926" width="10.44140625" style="52" customWidth="1"/>
    <col min="6927" max="6927" width="15" style="52" bestFit="1" customWidth="1"/>
    <col min="6928" max="6929" width="11.5546875" style="52"/>
    <col min="6930" max="6930" width="13.88671875" style="52" bestFit="1" customWidth="1"/>
    <col min="6931" max="7167" width="11.5546875" style="52"/>
    <col min="7168" max="7168" width="8.33203125" style="52" customWidth="1"/>
    <col min="7169" max="7169" width="21.109375" style="52" bestFit="1" customWidth="1"/>
    <col min="7170" max="7170" width="7.88671875" style="52" customWidth="1"/>
    <col min="7171" max="7171" width="23.5546875" style="52" bestFit="1" customWidth="1"/>
    <col min="7172" max="7172" width="10.33203125" style="52" customWidth="1"/>
    <col min="7173" max="7173" width="13.109375" style="52" customWidth="1"/>
    <col min="7174" max="7175" width="9.88671875" style="52" customWidth="1"/>
    <col min="7176" max="7176" width="15.5546875" style="52" bestFit="1" customWidth="1"/>
    <col min="7177" max="7178" width="11" style="52" customWidth="1"/>
    <col min="7179" max="7179" width="11.5546875" style="52" customWidth="1"/>
    <col min="7180" max="7180" width="11.6640625" style="52" bestFit="1" customWidth="1"/>
    <col min="7181" max="7182" width="10.44140625" style="52" customWidth="1"/>
    <col min="7183" max="7183" width="15" style="52" bestFit="1" customWidth="1"/>
    <col min="7184" max="7185" width="11.5546875" style="52"/>
    <col min="7186" max="7186" width="13.88671875" style="52" bestFit="1" customWidth="1"/>
    <col min="7187" max="7423" width="11.5546875" style="52"/>
    <col min="7424" max="7424" width="8.33203125" style="52" customWidth="1"/>
    <col min="7425" max="7425" width="21.109375" style="52" bestFit="1" customWidth="1"/>
    <col min="7426" max="7426" width="7.88671875" style="52" customWidth="1"/>
    <col min="7427" max="7427" width="23.5546875" style="52" bestFit="1" customWidth="1"/>
    <col min="7428" max="7428" width="10.33203125" style="52" customWidth="1"/>
    <col min="7429" max="7429" width="13.109375" style="52" customWidth="1"/>
    <col min="7430" max="7431" width="9.88671875" style="52" customWidth="1"/>
    <col min="7432" max="7432" width="15.5546875" style="52" bestFit="1" customWidth="1"/>
    <col min="7433" max="7434" width="11" style="52" customWidth="1"/>
    <col min="7435" max="7435" width="11.5546875" style="52" customWidth="1"/>
    <col min="7436" max="7436" width="11.6640625" style="52" bestFit="1" customWidth="1"/>
    <col min="7437" max="7438" width="10.44140625" style="52" customWidth="1"/>
    <col min="7439" max="7439" width="15" style="52" bestFit="1" customWidth="1"/>
    <col min="7440" max="7441" width="11.5546875" style="52"/>
    <col min="7442" max="7442" width="13.88671875" style="52" bestFit="1" customWidth="1"/>
    <col min="7443" max="7679" width="11.5546875" style="52"/>
    <col min="7680" max="7680" width="8.33203125" style="52" customWidth="1"/>
    <col min="7681" max="7681" width="21.109375" style="52" bestFit="1" customWidth="1"/>
    <col min="7682" max="7682" width="7.88671875" style="52" customWidth="1"/>
    <col min="7683" max="7683" width="23.5546875" style="52" bestFit="1" customWidth="1"/>
    <col min="7684" max="7684" width="10.33203125" style="52" customWidth="1"/>
    <col min="7685" max="7685" width="13.109375" style="52" customWidth="1"/>
    <col min="7686" max="7687" width="9.88671875" style="52" customWidth="1"/>
    <col min="7688" max="7688" width="15.5546875" style="52" bestFit="1" customWidth="1"/>
    <col min="7689" max="7690" width="11" style="52" customWidth="1"/>
    <col min="7691" max="7691" width="11.5546875" style="52" customWidth="1"/>
    <col min="7692" max="7692" width="11.6640625" style="52" bestFit="1" customWidth="1"/>
    <col min="7693" max="7694" width="10.44140625" style="52" customWidth="1"/>
    <col min="7695" max="7695" width="15" style="52" bestFit="1" customWidth="1"/>
    <col min="7696" max="7697" width="11.5546875" style="52"/>
    <col min="7698" max="7698" width="13.88671875" style="52" bestFit="1" customWidth="1"/>
    <col min="7699" max="7935" width="11.5546875" style="52"/>
    <col min="7936" max="7936" width="8.33203125" style="52" customWidth="1"/>
    <col min="7937" max="7937" width="21.109375" style="52" bestFit="1" customWidth="1"/>
    <col min="7938" max="7938" width="7.88671875" style="52" customWidth="1"/>
    <col min="7939" max="7939" width="23.5546875" style="52" bestFit="1" customWidth="1"/>
    <col min="7940" max="7940" width="10.33203125" style="52" customWidth="1"/>
    <col min="7941" max="7941" width="13.109375" style="52" customWidth="1"/>
    <col min="7942" max="7943" width="9.88671875" style="52" customWidth="1"/>
    <col min="7944" max="7944" width="15.5546875" style="52" bestFit="1" customWidth="1"/>
    <col min="7945" max="7946" width="11" style="52" customWidth="1"/>
    <col min="7947" max="7947" width="11.5546875" style="52" customWidth="1"/>
    <col min="7948" max="7948" width="11.6640625" style="52" bestFit="1" customWidth="1"/>
    <col min="7949" max="7950" width="10.44140625" style="52" customWidth="1"/>
    <col min="7951" max="7951" width="15" style="52" bestFit="1" customWidth="1"/>
    <col min="7952" max="7953" width="11.5546875" style="52"/>
    <col min="7954" max="7954" width="13.88671875" style="52" bestFit="1" customWidth="1"/>
    <col min="7955" max="8191" width="11.5546875" style="52"/>
    <col min="8192" max="8192" width="8.33203125" style="52" customWidth="1"/>
    <col min="8193" max="8193" width="21.109375" style="52" bestFit="1" customWidth="1"/>
    <col min="8194" max="8194" width="7.88671875" style="52" customWidth="1"/>
    <col min="8195" max="8195" width="23.5546875" style="52" bestFit="1" customWidth="1"/>
    <col min="8196" max="8196" width="10.33203125" style="52" customWidth="1"/>
    <col min="8197" max="8197" width="13.109375" style="52" customWidth="1"/>
    <col min="8198" max="8199" width="9.88671875" style="52" customWidth="1"/>
    <col min="8200" max="8200" width="15.5546875" style="52" bestFit="1" customWidth="1"/>
    <col min="8201" max="8202" width="11" style="52" customWidth="1"/>
    <col min="8203" max="8203" width="11.5546875" style="52" customWidth="1"/>
    <col min="8204" max="8204" width="11.6640625" style="52" bestFit="1" customWidth="1"/>
    <col min="8205" max="8206" width="10.44140625" style="52" customWidth="1"/>
    <col min="8207" max="8207" width="15" style="52" bestFit="1" customWidth="1"/>
    <col min="8208" max="8209" width="11.5546875" style="52"/>
    <col min="8210" max="8210" width="13.88671875" style="52" bestFit="1" customWidth="1"/>
    <col min="8211" max="8447" width="11.5546875" style="52"/>
    <col min="8448" max="8448" width="8.33203125" style="52" customWidth="1"/>
    <col min="8449" max="8449" width="21.109375" style="52" bestFit="1" customWidth="1"/>
    <col min="8450" max="8450" width="7.88671875" style="52" customWidth="1"/>
    <col min="8451" max="8451" width="23.5546875" style="52" bestFit="1" customWidth="1"/>
    <col min="8452" max="8452" width="10.33203125" style="52" customWidth="1"/>
    <col min="8453" max="8453" width="13.109375" style="52" customWidth="1"/>
    <col min="8454" max="8455" width="9.88671875" style="52" customWidth="1"/>
    <col min="8456" max="8456" width="15.5546875" style="52" bestFit="1" customWidth="1"/>
    <col min="8457" max="8458" width="11" style="52" customWidth="1"/>
    <col min="8459" max="8459" width="11.5546875" style="52" customWidth="1"/>
    <col min="8460" max="8460" width="11.6640625" style="52" bestFit="1" customWidth="1"/>
    <col min="8461" max="8462" width="10.44140625" style="52" customWidth="1"/>
    <col min="8463" max="8463" width="15" style="52" bestFit="1" customWidth="1"/>
    <col min="8464" max="8465" width="11.5546875" style="52"/>
    <col min="8466" max="8466" width="13.88671875" style="52" bestFit="1" customWidth="1"/>
    <col min="8467" max="8703" width="11.5546875" style="52"/>
    <col min="8704" max="8704" width="8.33203125" style="52" customWidth="1"/>
    <col min="8705" max="8705" width="21.109375" style="52" bestFit="1" customWidth="1"/>
    <col min="8706" max="8706" width="7.88671875" style="52" customWidth="1"/>
    <col min="8707" max="8707" width="23.5546875" style="52" bestFit="1" customWidth="1"/>
    <col min="8708" max="8708" width="10.33203125" style="52" customWidth="1"/>
    <col min="8709" max="8709" width="13.109375" style="52" customWidth="1"/>
    <col min="8710" max="8711" width="9.88671875" style="52" customWidth="1"/>
    <col min="8712" max="8712" width="15.5546875" style="52" bestFit="1" customWidth="1"/>
    <col min="8713" max="8714" width="11" style="52" customWidth="1"/>
    <col min="8715" max="8715" width="11.5546875" style="52" customWidth="1"/>
    <col min="8716" max="8716" width="11.6640625" style="52" bestFit="1" customWidth="1"/>
    <col min="8717" max="8718" width="10.44140625" style="52" customWidth="1"/>
    <col min="8719" max="8719" width="15" style="52" bestFit="1" customWidth="1"/>
    <col min="8720" max="8721" width="11.5546875" style="52"/>
    <col min="8722" max="8722" width="13.88671875" style="52" bestFit="1" customWidth="1"/>
    <col min="8723" max="8959" width="11.5546875" style="52"/>
    <col min="8960" max="8960" width="8.33203125" style="52" customWidth="1"/>
    <col min="8961" max="8961" width="21.109375" style="52" bestFit="1" customWidth="1"/>
    <col min="8962" max="8962" width="7.88671875" style="52" customWidth="1"/>
    <col min="8963" max="8963" width="23.5546875" style="52" bestFit="1" customWidth="1"/>
    <col min="8964" max="8964" width="10.33203125" style="52" customWidth="1"/>
    <col min="8965" max="8965" width="13.109375" style="52" customWidth="1"/>
    <col min="8966" max="8967" width="9.88671875" style="52" customWidth="1"/>
    <col min="8968" max="8968" width="15.5546875" style="52" bestFit="1" customWidth="1"/>
    <col min="8969" max="8970" width="11" style="52" customWidth="1"/>
    <col min="8971" max="8971" width="11.5546875" style="52" customWidth="1"/>
    <col min="8972" max="8972" width="11.6640625" style="52" bestFit="1" customWidth="1"/>
    <col min="8973" max="8974" width="10.44140625" style="52" customWidth="1"/>
    <col min="8975" max="8975" width="15" style="52" bestFit="1" customWidth="1"/>
    <col min="8976" max="8977" width="11.5546875" style="52"/>
    <col min="8978" max="8978" width="13.88671875" style="52" bestFit="1" customWidth="1"/>
    <col min="8979" max="9215" width="11.5546875" style="52"/>
    <col min="9216" max="9216" width="8.33203125" style="52" customWidth="1"/>
    <col min="9217" max="9217" width="21.109375" style="52" bestFit="1" customWidth="1"/>
    <col min="9218" max="9218" width="7.88671875" style="52" customWidth="1"/>
    <col min="9219" max="9219" width="23.5546875" style="52" bestFit="1" customWidth="1"/>
    <col min="9220" max="9220" width="10.33203125" style="52" customWidth="1"/>
    <col min="9221" max="9221" width="13.109375" style="52" customWidth="1"/>
    <col min="9222" max="9223" width="9.88671875" style="52" customWidth="1"/>
    <col min="9224" max="9224" width="15.5546875" style="52" bestFit="1" customWidth="1"/>
    <col min="9225" max="9226" width="11" style="52" customWidth="1"/>
    <col min="9227" max="9227" width="11.5546875" style="52" customWidth="1"/>
    <col min="9228" max="9228" width="11.6640625" style="52" bestFit="1" customWidth="1"/>
    <col min="9229" max="9230" width="10.44140625" style="52" customWidth="1"/>
    <col min="9231" max="9231" width="15" style="52" bestFit="1" customWidth="1"/>
    <col min="9232" max="9233" width="11.5546875" style="52"/>
    <col min="9234" max="9234" width="13.88671875" style="52" bestFit="1" customWidth="1"/>
    <col min="9235" max="9471" width="11.5546875" style="52"/>
    <col min="9472" max="9472" width="8.33203125" style="52" customWidth="1"/>
    <col min="9473" max="9473" width="21.109375" style="52" bestFit="1" customWidth="1"/>
    <col min="9474" max="9474" width="7.88671875" style="52" customWidth="1"/>
    <col min="9475" max="9475" width="23.5546875" style="52" bestFit="1" customWidth="1"/>
    <col min="9476" max="9476" width="10.33203125" style="52" customWidth="1"/>
    <col min="9477" max="9477" width="13.109375" style="52" customWidth="1"/>
    <col min="9478" max="9479" width="9.88671875" style="52" customWidth="1"/>
    <col min="9480" max="9480" width="15.5546875" style="52" bestFit="1" customWidth="1"/>
    <col min="9481" max="9482" width="11" style="52" customWidth="1"/>
    <col min="9483" max="9483" width="11.5546875" style="52" customWidth="1"/>
    <col min="9484" max="9484" width="11.6640625" style="52" bestFit="1" customWidth="1"/>
    <col min="9485" max="9486" width="10.44140625" style="52" customWidth="1"/>
    <col min="9487" max="9487" width="15" style="52" bestFit="1" customWidth="1"/>
    <col min="9488" max="9489" width="11.5546875" style="52"/>
    <col min="9490" max="9490" width="13.88671875" style="52" bestFit="1" customWidth="1"/>
    <col min="9491" max="9727" width="11.5546875" style="52"/>
    <col min="9728" max="9728" width="8.33203125" style="52" customWidth="1"/>
    <col min="9729" max="9729" width="21.109375" style="52" bestFit="1" customWidth="1"/>
    <col min="9730" max="9730" width="7.88671875" style="52" customWidth="1"/>
    <col min="9731" max="9731" width="23.5546875" style="52" bestFit="1" customWidth="1"/>
    <col min="9732" max="9732" width="10.33203125" style="52" customWidth="1"/>
    <col min="9733" max="9733" width="13.109375" style="52" customWidth="1"/>
    <col min="9734" max="9735" width="9.88671875" style="52" customWidth="1"/>
    <col min="9736" max="9736" width="15.5546875" style="52" bestFit="1" customWidth="1"/>
    <col min="9737" max="9738" width="11" style="52" customWidth="1"/>
    <col min="9739" max="9739" width="11.5546875" style="52" customWidth="1"/>
    <col min="9740" max="9740" width="11.6640625" style="52" bestFit="1" customWidth="1"/>
    <col min="9741" max="9742" width="10.44140625" style="52" customWidth="1"/>
    <col min="9743" max="9743" width="15" style="52" bestFit="1" customWidth="1"/>
    <col min="9744" max="9745" width="11.5546875" style="52"/>
    <col min="9746" max="9746" width="13.88671875" style="52" bestFit="1" customWidth="1"/>
    <col min="9747" max="9983" width="11.5546875" style="52"/>
    <col min="9984" max="9984" width="8.33203125" style="52" customWidth="1"/>
    <col min="9985" max="9985" width="21.109375" style="52" bestFit="1" customWidth="1"/>
    <col min="9986" max="9986" width="7.88671875" style="52" customWidth="1"/>
    <col min="9987" max="9987" width="23.5546875" style="52" bestFit="1" customWidth="1"/>
    <col min="9988" max="9988" width="10.33203125" style="52" customWidth="1"/>
    <col min="9989" max="9989" width="13.109375" style="52" customWidth="1"/>
    <col min="9990" max="9991" width="9.88671875" style="52" customWidth="1"/>
    <col min="9992" max="9992" width="15.5546875" style="52" bestFit="1" customWidth="1"/>
    <col min="9993" max="9994" width="11" style="52" customWidth="1"/>
    <col min="9995" max="9995" width="11.5546875" style="52" customWidth="1"/>
    <col min="9996" max="9996" width="11.6640625" style="52" bestFit="1" customWidth="1"/>
    <col min="9997" max="9998" width="10.44140625" style="52" customWidth="1"/>
    <col min="9999" max="9999" width="15" style="52" bestFit="1" customWidth="1"/>
    <col min="10000" max="10001" width="11.5546875" style="52"/>
    <col min="10002" max="10002" width="13.88671875" style="52" bestFit="1" customWidth="1"/>
    <col min="10003" max="10239" width="11.5546875" style="52"/>
    <col min="10240" max="10240" width="8.33203125" style="52" customWidth="1"/>
    <col min="10241" max="10241" width="21.109375" style="52" bestFit="1" customWidth="1"/>
    <col min="10242" max="10242" width="7.88671875" style="52" customWidth="1"/>
    <col min="10243" max="10243" width="23.5546875" style="52" bestFit="1" customWidth="1"/>
    <col min="10244" max="10244" width="10.33203125" style="52" customWidth="1"/>
    <col min="10245" max="10245" width="13.109375" style="52" customWidth="1"/>
    <col min="10246" max="10247" width="9.88671875" style="52" customWidth="1"/>
    <col min="10248" max="10248" width="15.5546875" style="52" bestFit="1" customWidth="1"/>
    <col min="10249" max="10250" width="11" style="52" customWidth="1"/>
    <col min="10251" max="10251" width="11.5546875" style="52" customWidth="1"/>
    <col min="10252" max="10252" width="11.6640625" style="52" bestFit="1" customWidth="1"/>
    <col min="10253" max="10254" width="10.44140625" style="52" customWidth="1"/>
    <col min="10255" max="10255" width="15" style="52" bestFit="1" customWidth="1"/>
    <col min="10256" max="10257" width="11.5546875" style="52"/>
    <col min="10258" max="10258" width="13.88671875" style="52" bestFit="1" customWidth="1"/>
    <col min="10259" max="10495" width="11.5546875" style="52"/>
    <col min="10496" max="10496" width="8.33203125" style="52" customWidth="1"/>
    <col min="10497" max="10497" width="21.109375" style="52" bestFit="1" customWidth="1"/>
    <col min="10498" max="10498" width="7.88671875" style="52" customWidth="1"/>
    <col min="10499" max="10499" width="23.5546875" style="52" bestFit="1" customWidth="1"/>
    <col min="10500" max="10500" width="10.33203125" style="52" customWidth="1"/>
    <col min="10501" max="10501" width="13.109375" style="52" customWidth="1"/>
    <col min="10502" max="10503" width="9.88671875" style="52" customWidth="1"/>
    <col min="10504" max="10504" width="15.5546875" style="52" bestFit="1" customWidth="1"/>
    <col min="10505" max="10506" width="11" style="52" customWidth="1"/>
    <col min="10507" max="10507" width="11.5546875" style="52" customWidth="1"/>
    <col min="10508" max="10508" width="11.6640625" style="52" bestFit="1" customWidth="1"/>
    <col min="10509" max="10510" width="10.44140625" style="52" customWidth="1"/>
    <col min="10511" max="10511" width="15" style="52" bestFit="1" customWidth="1"/>
    <col min="10512" max="10513" width="11.5546875" style="52"/>
    <col min="10514" max="10514" width="13.88671875" style="52" bestFit="1" customWidth="1"/>
    <col min="10515" max="10751" width="11.5546875" style="52"/>
    <col min="10752" max="10752" width="8.33203125" style="52" customWidth="1"/>
    <col min="10753" max="10753" width="21.109375" style="52" bestFit="1" customWidth="1"/>
    <col min="10754" max="10754" width="7.88671875" style="52" customWidth="1"/>
    <col min="10755" max="10755" width="23.5546875" style="52" bestFit="1" customWidth="1"/>
    <col min="10756" max="10756" width="10.33203125" style="52" customWidth="1"/>
    <col min="10757" max="10757" width="13.109375" style="52" customWidth="1"/>
    <col min="10758" max="10759" width="9.88671875" style="52" customWidth="1"/>
    <col min="10760" max="10760" width="15.5546875" style="52" bestFit="1" customWidth="1"/>
    <col min="10761" max="10762" width="11" style="52" customWidth="1"/>
    <col min="10763" max="10763" width="11.5546875" style="52" customWidth="1"/>
    <col min="10764" max="10764" width="11.6640625" style="52" bestFit="1" customWidth="1"/>
    <col min="10765" max="10766" width="10.44140625" style="52" customWidth="1"/>
    <col min="10767" max="10767" width="15" style="52" bestFit="1" customWidth="1"/>
    <col min="10768" max="10769" width="11.5546875" style="52"/>
    <col min="10770" max="10770" width="13.88671875" style="52" bestFit="1" customWidth="1"/>
    <col min="10771" max="11007" width="11.5546875" style="52"/>
    <col min="11008" max="11008" width="8.33203125" style="52" customWidth="1"/>
    <col min="11009" max="11009" width="21.109375" style="52" bestFit="1" customWidth="1"/>
    <col min="11010" max="11010" width="7.88671875" style="52" customWidth="1"/>
    <col min="11011" max="11011" width="23.5546875" style="52" bestFit="1" customWidth="1"/>
    <col min="11012" max="11012" width="10.33203125" style="52" customWidth="1"/>
    <col min="11013" max="11013" width="13.109375" style="52" customWidth="1"/>
    <col min="11014" max="11015" width="9.88671875" style="52" customWidth="1"/>
    <col min="11016" max="11016" width="15.5546875" style="52" bestFit="1" customWidth="1"/>
    <col min="11017" max="11018" width="11" style="52" customWidth="1"/>
    <col min="11019" max="11019" width="11.5546875" style="52" customWidth="1"/>
    <col min="11020" max="11020" width="11.6640625" style="52" bestFit="1" customWidth="1"/>
    <col min="11021" max="11022" width="10.44140625" style="52" customWidth="1"/>
    <col min="11023" max="11023" width="15" style="52" bestFit="1" customWidth="1"/>
    <col min="11024" max="11025" width="11.5546875" style="52"/>
    <col min="11026" max="11026" width="13.88671875" style="52" bestFit="1" customWidth="1"/>
    <col min="11027" max="11263" width="11.5546875" style="52"/>
    <col min="11264" max="11264" width="8.33203125" style="52" customWidth="1"/>
    <col min="11265" max="11265" width="21.109375" style="52" bestFit="1" customWidth="1"/>
    <col min="11266" max="11266" width="7.88671875" style="52" customWidth="1"/>
    <col min="11267" max="11267" width="23.5546875" style="52" bestFit="1" customWidth="1"/>
    <col min="11268" max="11268" width="10.33203125" style="52" customWidth="1"/>
    <col min="11269" max="11269" width="13.109375" style="52" customWidth="1"/>
    <col min="11270" max="11271" width="9.88671875" style="52" customWidth="1"/>
    <col min="11272" max="11272" width="15.5546875" style="52" bestFit="1" customWidth="1"/>
    <col min="11273" max="11274" width="11" style="52" customWidth="1"/>
    <col min="11275" max="11275" width="11.5546875" style="52" customWidth="1"/>
    <col min="11276" max="11276" width="11.6640625" style="52" bestFit="1" customWidth="1"/>
    <col min="11277" max="11278" width="10.44140625" style="52" customWidth="1"/>
    <col min="11279" max="11279" width="15" style="52" bestFit="1" customWidth="1"/>
    <col min="11280" max="11281" width="11.5546875" style="52"/>
    <col min="11282" max="11282" width="13.88671875" style="52" bestFit="1" customWidth="1"/>
    <col min="11283" max="11519" width="11.5546875" style="52"/>
    <col min="11520" max="11520" width="8.33203125" style="52" customWidth="1"/>
    <col min="11521" max="11521" width="21.109375" style="52" bestFit="1" customWidth="1"/>
    <col min="11522" max="11522" width="7.88671875" style="52" customWidth="1"/>
    <col min="11523" max="11523" width="23.5546875" style="52" bestFit="1" customWidth="1"/>
    <col min="11524" max="11524" width="10.33203125" style="52" customWidth="1"/>
    <col min="11525" max="11525" width="13.109375" style="52" customWidth="1"/>
    <col min="11526" max="11527" width="9.88671875" style="52" customWidth="1"/>
    <col min="11528" max="11528" width="15.5546875" style="52" bestFit="1" customWidth="1"/>
    <col min="11529" max="11530" width="11" style="52" customWidth="1"/>
    <col min="11531" max="11531" width="11.5546875" style="52" customWidth="1"/>
    <col min="11532" max="11532" width="11.6640625" style="52" bestFit="1" customWidth="1"/>
    <col min="11533" max="11534" width="10.44140625" style="52" customWidth="1"/>
    <col min="11535" max="11535" width="15" style="52" bestFit="1" customWidth="1"/>
    <col min="11536" max="11537" width="11.5546875" style="52"/>
    <col min="11538" max="11538" width="13.88671875" style="52" bestFit="1" customWidth="1"/>
    <col min="11539" max="11775" width="11.5546875" style="52"/>
    <col min="11776" max="11776" width="8.33203125" style="52" customWidth="1"/>
    <col min="11777" max="11777" width="21.109375" style="52" bestFit="1" customWidth="1"/>
    <col min="11778" max="11778" width="7.88671875" style="52" customWidth="1"/>
    <col min="11779" max="11779" width="23.5546875" style="52" bestFit="1" customWidth="1"/>
    <col min="11780" max="11780" width="10.33203125" style="52" customWidth="1"/>
    <col min="11781" max="11781" width="13.109375" style="52" customWidth="1"/>
    <col min="11782" max="11783" width="9.88671875" style="52" customWidth="1"/>
    <col min="11784" max="11784" width="15.5546875" style="52" bestFit="1" customWidth="1"/>
    <col min="11785" max="11786" width="11" style="52" customWidth="1"/>
    <col min="11787" max="11787" width="11.5546875" style="52" customWidth="1"/>
    <col min="11788" max="11788" width="11.6640625" style="52" bestFit="1" customWidth="1"/>
    <col min="11789" max="11790" width="10.44140625" style="52" customWidth="1"/>
    <col min="11791" max="11791" width="15" style="52" bestFit="1" customWidth="1"/>
    <col min="11792" max="11793" width="11.5546875" style="52"/>
    <col min="11794" max="11794" width="13.88671875" style="52" bestFit="1" customWidth="1"/>
    <col min="11795" max="12031" width="11.5546875" style="52"/>
    <col min="12032" max="12032" width="8.33203125" style="52" customWidth="1"/>
    <col min="12033" max="12033" width="21.109375" style="52" bestFit="1" customWidth="1"/>
    <col min="12034" max="12034" width="7.88671875" style="52" customWidth="1"/>
    <col min="12035" max="12035" width="23.5546875" style="52" bestFit="1" customWidth="1"/>
    <col min="12036" max="12036" width="10.33203125" style="52" customWidth="1"/>
    <col min="12037" max="12037" width="13.109375" style="52" customWidth="1"/>
    <col min="12038" max="12039" width="9.88671875" style="52" customWidth="1"/>
    <col min="12040" max="12040" width="15.5546875" style="52" bestFit="1" customWidth="1"/>
    <col min="12041" max="12042" width="11" style="52" customWidth="1"/>
    <col min="12043" max="12043" width="11.5546875" style="52" customWidth="1"/>
    <col min="12044" max="12044" width="11.6640625" style="52" bestFit="1" customWidth="1"/>
    <col min="12045" max="12046" width="10.44140625" style="52" customWidth="1"/>
    <col min="12047" max="12047" width="15" style="52" bestFit="1" customWidth="1"/>
    <col min="12048" max="12049" width="11.5546875" style="52"/>
    <col min="12050" max="12050" width="13.88671875" style="52" bestFit="1" customWidth="1"/>
    <col min="12051" max="12287" width="11.5546875" style="52"/>
    <col min="12288" max="12288" width="8.33203125" style="52" customWidth="1"/>
    <col min="12289" max="12289" width="21.109375" style="52" bestFit="1" customWidth="1"/>
    <col min="12290" max="12290" width="7.88671875" style="52" customWidth="1"/>
    <col min="12291" max="12291" width="23.5546875" style="52" bestFit="1" customWidth="1"/>
    <col min="12292" max="12292" width="10.33203125" style="52" customWidth="1"/>
    <col min="12293" max="12293" width="13.109375" style="52" customWidth="1"/>
    <col min="12294" max="12295" width="9.88671875" style="52" customWidth="1"/>
    <col min="12296" max="12296" width="15.5546875" style="52" bestFit="1" customWidth="1"/>
    <col min="12297" max="12298" width="11" style="52" customWidth="1"/>
    <col min="12299" max="12299" width="11.5546875" style="52" customWidth="1"/>
    <col min="12300" max="12300" width="11.6640625" style="52" bestFit="1" customWidth="1"/>
    <col min="12301" max="12302" width="10.44140625" style="52" customWidth="1"/>
    <col min="12303" max="12303" width="15" style="52" bestFit="1" customWidth="1"/>
    <col min="12304" max="12305" width="11.5546875" style="52"/>
    <col min="12306" max="12306" width="13.88671875" style="52" bestFit="1" customWidth="1"/>
    <col min="12307" max="12543" width="11.5546875" style="52"/>
    <col min="12544" max="12544" width="8.33203125" style="52" customWidth="1"/>
    <col min="12545" max="12545" width="21.109375" style="52" bestFit="1" customWidth="1"/>
    <col min="12546" max="12546" width="7.88671875" style="52" customWidth="1"/>
    <col min="12547" max="12547" width="23.5546875" style="52" bestFit="1" customWidth="1"/>
    <col min="12548" max="12548" width="10.33203125" style="52" customWidth="1"/>
    <col min="12549" max="12549" width="13.109375" style="52" customWidth="1"/>
    <col min="12550" max="12551" width="9.88671875" style="52" customWidth="1"/>
    <col min="12552" max="12552" width="15.5546875" style="52" bestFit="1" customWidth="1"/>
    <col min="12553" max="12554" width="11" style="52" customWidth="1"/>
    <col min="12555" max="12555" width="11.5546875" style="52" customWidth="1"/>
    <col min="12556" max="12556" width="11.6640625" style="52" bestFit="1" customWidth="1"/>
    <col min="12557" max="12558" width="10.44140625" style="52" customWidth="1"/>
    <col min="12559" max="12559" width="15" style="52" bestFit="1" customWidth="1"/>
    <col min="12560" max="12561" width="11.5546875" style="52"/>
    <col min="12562" max="12562" width="13.88671875" style="52" bestFit="1" customWidth="1"/>
    <col min="12563" max="12799" width="11.5546875" style="52"/>
    <col min="12800" max="12800" width="8.33203125" style="52" customWidth="1"/>
    <col min="12801" max="12801" width="21.109375" style="52" bestFit="1" customWidth="1"/>
    <col min="12802" max="12802" width="7.88671875" style="52" customWidth="1"/>
    <col min="12803" max="12803" width="23.5546875" style="52" bestFit="1" customWidth="1"/>
    <col min="12804" max="12804" width="10.33203125" style="52" customWidth="1"/>
    <col min="12805" max="12805" width="13.109375" style="52" customWidth="1"/>
    <col min="12806" max="12807" width="9.88671875" style="52" customWidth="1"/>
    <col min="12808" max="12808" width="15.5546875" style="52" bestFit="1" customWidth="1"/>
    <col min="12809" max="12810" width="11" style="52" customWidth="1"/>
    <col min="12811" max="12811" width="11.5546875" style="52" customWidth="1"/>
    <col min="12812" max="12812" width="11.6640625" style="52" bestFit="1" customWidth="1"/>
    <col min="12813" max="12814" width="10.44140625" style="52" customWidth="1"/>
    <col min="12815" max="12815" width="15" style="52" bestFit="1" customWidth="1"/>
    <col min="12816" max="12817" width="11.5546875" style="52"/>
    <col min="12818" max="12818" width="13.88671875" style="52" bestFit="1" customWidth="1"/>
    <col min="12819" max="13055" width="11.5546875" style="52"/>
    <col min="13056" max="13056" width="8.33203125" style="52" customWidth="1"/>
    <col min="13057" max="13057" width="21.109375" style="52" bestFit="1" customWidth="1"/>
    <col min="13058" max="13058" width="7.88671875" style="52" customWidth="1"/>
    <col min="13059" max="13059" width="23.5546875" style="52" bestFit="1" customWidth="1"/>
    <col min="13060" max="13060" width="10.33203125" style="52" customWidth="1"/>
    <col min="13061" max="13061" width="13.109375" style="52" customWidth="1"/>
    <col min="13062" max="13063" width="9.88671875" style="52" customWidth="1"/>
    <col min="13064" max="13064" width="15.5546875" style="52" bestFit="1" customWidth="1"/>
    <col min="13065" max="13066" width="11" style="52" customWidth="1"/>
    <col min="13067" max="13067" width="11.5546875" style="52" customWidth="1"/>
    <col min="13068" max="13068" width="11.6640625" style="52" bestFit="1" customWidth="1"/>
    <col min="13069" max="13070" width="10.44140625" style="52" customWidth="1"/>
    <col min="13071" max="13071" width="15" style="52" bestFit="1" customWidth="1"/>
    <col min="13072" max="13073" width="11.5546875" style="52"/>
    <col min="13074" max="13074" width="13.88671875" style="52" bestFit="1" customWidth="1"/>
    <col min="13075" max="13311" width="11.5546875" style="52"/>
    <col min="13312" max="13312" width="8.33203125" style="52" customWidth="1"/>
    <col min="13313" max="13313" width="21.109375" style="52" bestFit="1" customWidth="1"/>
    <col min="13314" max="13314" width="7.88671875" style="52" customWidth="1"/>
    <col min="13315" max="13315" width="23.5546875" style="52" bestFit="1" customWidth="1"/>
    <col min="13316" max="13316" width="10.33203125" style="52" customWidth="1"/>
    <col min="13317" max="13317" width="13.109375" style="52" customWidth="1"/>
    <col min="13318" max="13319" width="9.88671875" style="52" customWidth="1"/>
    <col min="13320" max="13320" width="15.5546875" style="52" bestFit="1" customWidth="1"/>
    <col min="13321" max="13322" width="11" style="52" customWidth="1"/>
    <col min="13323" max="13323" width="11.5546875" style="52" customWidth="1"/>
    <col min="13324" max="13324" width="11.6640625" style="52" bestFit="1" customWidth="1"/>
    <col min="13325" max="13326" width="10.44140625" style="52" customWidth="1"/>
    <col min="13327" max="13327" width="15" style="52" bestFit="1" customWidth="1"/>
    <col min="13328" max="13329" width="11.5546875" style="52"/>
    <col min="13330" max="13330" width="13.88671875" style="52" bestFit="1" customWidth="1"/>
    <col min="13331" max="13567" width="11.5546875" style="52"/>
    <col min="13568" max="13568" width="8.33203125" style="52" customWidth="1"/>
    <col min="13569" max="13569" width="21.109375" style="52" bestFit="1" customWidth="1"/>
    <col min="13570" max="13570" width="7.88671875" style="52" customWidth="1"/>
    <col min="13571" max="13571" width="23.5546875" style="52" bestFit="1" customWidth="1"/>
    <col min="13572" max="13572" width="10.33203125" style="52" customWidth="1"/>
    <col min="13573" max="13573" width="13.109375" style="52" customWidth="1"/>
    <col min="13574" max="13575" width="9.88671875" style="52" customWidth="1"/>
    <col min="13576" max="13576" width="15.5546875" style="52" bestFit="1" customWidth="1"/>
    <col min="13577" max="13578" width="11" style="52" customWidth="1"/>
    <col min="13579" max="13579" width="11.5546875" style="52" customWidth="1"/>
    <col min="13580" max="13580" width="11.6640625" style="52" bestFit="1" customWidth="1"/>
    <col min="13581" max="13582" width="10.44140625" style="52" customWidth="1"/>
    <col min="13583" max="13583" width="15" style="52" bestFit="1" customWidth="1"/>
    <col min="13584" max="13585" width="11.5546875" style="52"/>
    <col min="13586" max="13586" width="13.88671875" style="52" bestFit="1" customWidth="1"/>
    <col min="13587" max="13823" width="11.5546875" style="52"/>
    <col min="13824" max="13824" width="8.33203125" style="52" customWidth="1"/>
    <col min="13825" max="13825" width="21.109375" style="52" bestFit="1" customWidth="1"/>
    <col min="13826" max="13826" width="7.88671875" style="52" customWidth="1"/>
    <col min="13827" max="13827" width="23.5546875" style="52" bestFit="1" customWidth="1"/>
    <col min="13828" max="13828" width="10.33203125" style="52" customWidth="1"/>
    <col min="13829" max="13829" width="13.109375" style="52" customWidth="1"/>
    <col min="13830" max="13831" width="9.88671875" style="52" customWidth="1"/>
    <col min="13832" max="13832" width="15.5546875" style="52" bestFit="1" customWidth="1"/>
    <col min="13833" max="13834" width="11" style="52" customWidth="1"/>
    <col min="13835" max="13835" width="11.5546875" style="52" customWidth="1"/>
    <col min="13836" max="13836" width="11.6640625" style="52" bestFit="1" customWidth="1"/>
    <col min="13837" max="13838" width="10.44140625" style="52" customWidth="1"/>
    <col min="13839" max="13839" width="15" style="52" bestFit="1" customWidth="1"/>
    <col min="13840" max="13841" width="11.5546875" style="52"/>
    <col min="13842" max="13842" width="13.88671875" style="52" bestFit="1" customWidth="1"/>
    <col min="13843" max="14079" width="11.5546875" style="52"/>
    <col min="14080" max="14080" width="8.33203125" style="52" customWidth="1"/>
    <col min="14081" max="14081" width="21.109375" style="52" bestFit="1" customWidth="1"/>
    <col min="14082" max="14082" width="7.88671875" style="52" customWidth="1"/>
    <col min="14083" max="14083" width="23.5546875" style="52" bestFit="1" customWidth="1"/>
    <col min="14084" max="14084" width="10.33203125" style="52" customWidth="1"/>
    <col min="14085" max="14085" width="13.109375" style="52" customWidth="1"/>
    <col min="14086" max="14087" width="9.88671875" style="52" customWidth="1"/>
    <col min="14088" max="14088" width="15.5546875" style="52" bestFit="1" customWidth="1"/>
    <col min="14089" max="14090" width="11" style="52" customWidth="1"/>
    <col min="14091" max="14091" width="11.5546875" style="52" customWidth="1"/>
    <col min="14092" max="14092" width="11.6640625" style="52" bestFit="1" customWidth="1"/>
    <col min="14093" max="14094" width="10.44140625" style="52" customWidth="1"/>
    <col min="14095" max="14095" width="15" style="52" bestFit="1" customWidth="1"/>
    <col min="14096" max="14097" width="11.5546875" style="52"/>
    <col min="14098" max="14098" width="13.88671875" style="52" bestFit="1" customWidth="1"/>
    <col min="14099" max="14335" width="11.5546875" style="52"/>
    <col min="14336" max="14336" width="8.33203125" style="52" customWidth="1"/>
    <col min="14337" max="14337" width="21.109375" style="52" bestFit="1" customWidth="1"/>
    <col min="14338" max="14338" width="7.88671875" style="52" customWidth="1"/>
    <col min="14339" max="14339" width="23.5546875" style="52" bestFit="1" customWidth="1"/>
    <col min="14340" max="14340" width="10.33203125" style="52" customWidth="1"/>
    <col min="14341" max="14341" width="13.109375" style="52" customWidth="1"/>
    <col min="14342" max="14343" width="9.88671875" style="52" customWidth="1"/>
    <col min="14344" max="14344" width="15.5546875" style="52" bestFit="1" customWidth="1"/>
    <col min="14345" max="14346" width="11" style="52" customWidth="1"/>
    <col min="14347" max="14347" width="11.5546875" style="52" customWidth="1"/>
    <col min="14348" max="14348" width="11.6640625" style="52" bestFit="1" customWidth="1"/>
    <col min="14349" max="14350" width="10.44140625" style="52" customWidth="1"/>
    <col min="14351" max="14351" width="15" style="52" bestFit="1" customWidth="1"/>
    <col min="14352" max="14353" width="11.5546875" style="52"/>
    <col min="14354" max="14354" width="13.88671875" style="52" bestFit="1" customWidth="1"/>
    <col min="14355" max="14591" width="11.5546875" style="52"/>
    <col min="14592" max="14592" width="8.33203125" style="52" customWidth="1"/>
    <col min="14593" max="14593" width="21.109375" style="52" bestFit="1" customWidth="1"/>
    <col min="14594" max="14594" width="7.88671875" style="52" customWidth="1"/>
    <col min="14595" max="14595" width="23.5546875" style="52" bestFit="1" customWidth="1"/>
    <col min="14596" max="14596" width="10.33203125" style="52" customWidth="1"/>
    <col min="14597" max="14597" width="13.109375" style="52" customWidth="1"/>
    <col min="14598" max="14599" width="9.88671875" style="52" customWidth="1"/>
    <col min="14600" max="14600" width="15.5546875" style="52" bestFit="1" customWidth="1"/>
    <col min="14601" max="14602" width="11" style="52" customWidth="1"/>
    <col min="14603" max="14603" width="11.5546875" style="52" customWidth="1"/>
    <col min="14604" max="14604" width="11.6640625" style="52" bestFit="1" customWidth="1"/>
    <col min="14605" max="14606" width="10.44140625" style="52" customWidth="1"/>
    <col min="14607" max="14607" width="15" style="52" bestFit="1" customWidth="1"/>
    <col min="14608" max="14609" width="11.5546875" style="52"/>
    <col min="14610" max="14610" width="13.88671875" style="52" bestFit="1" customWidth="1"/>
    <col min="14611" max="14847" width="11.5546875" style="52"/>
    <col min="14848" max="14848" width="8.33203125" style="52" customWidth="1"/>
    <col min="14849" max="14849" width="21.109375" style="52" bestFit="1" customWidth="1"/>
    <col min="14850" max="14850" width="7.88671875" style="52" customWidth="1"/>
    <col min="14851" max="14851" width="23.5546875" style="52" bestFit="1" customWidth="1"/>
    <col min="14852" max="14852" width="10.33203125" style="52" customWidth="1"/>
    <col min="14853" max="14853" width="13.109375" style="52" customWidth="1"/>
    <col min="14854" max="14855" width="9.88671875" style="52" customWidth="1"/>
    <col min="14856" max="14856" width="15.5546875" style="52" bestFit="1" customWidth="1"/>
    <col min="14857" max="14858" width="11" style="52" customWidth="1"/>
    <col min="14859" max="14859" width="11.5546875" style="52" customWidth="1"/>
    <col min="14860" max="14860" width="11.6640625" style="52" bestFit="1" customWidth="1"/>
    <col min="14861" max="14862" width="10.44140625" style="52" customWidth="1"/>
    <col min="14863" max="14863" width="15" style="52" bestFit="1" customWidth="1"/>
    <col min="14864" max="14865" width="11.5546875" style="52"/>
    <col min="14866" max="14866" width="13.88671875" style="52" bestFit="1" customWidth="1"/>
    <col min="14867" max="15103" width="11.5546875" style="52"/>
    <col min="15104" max="15104" width="8.33203125" style="52" customWidth="1"/>
    <col min="15105" max="15105" width="21.109375" style="52" bestFit="1" customWidth="1"/>
    <col min="15106" max="15106" width="7.88671875" style="52" customWidth="1"/>
    <col min="15107" max="15107" width="23.5546875" style="52" bestFit="1" customWidth="1"/>
    <col min="15108" max="15108" width="10.33203125" style="52" customWidth="1"/>
    <col min="15109" max="15109" width="13.109375" style="52" customWidth="1"/>
    <col min="15110" max="15111" width="9.88671875" style="52" customWidth="1"/>
    <col min="15112" max="15112" width="15.5546875" style="52" bestFit="1" customWidth="1"/>
    <col min="15113" max="15114" width="11" style="52" customWidth="1"/>
    <col min="15115" max="15115" width="11.5546875" style="52" customWidth="1"/>
    <col min="15116" max="15116" width="11.6640625" style="52" bestFit="1" customWidth="1"/>
    <col min="15117" max="15118" width="10.44140625" style="52" customWidth="1"/>
    <col min="15119" max="15119" width="15" style="52" bestFit="1" customWidth="1"/>
    <col min="15120" max="15121" width="11.5546875" style="52"/>
    <col min="15122" max="15122" width="13.88671875" style="52" bestFit="1" customWidth="1"/>
    <col min="15123" max="15359" width="11.5546875" style="52"/>
    <col min="15360" max="15360" width="8.33203125" style="52" customWidth="1"/>
    <col min="15361" max="15361" width="21.109375" style="52" bestFit="1" customWidth="1"/>
    <col min="15362" max="15362" width="7.88671875" style="52" customWidth="1"/>
    <col min="15363" max="15363" width="23.5546875" style="52" bestFit="1" customWidth="1"/>
    <col min="15364" max="15364" width="10.33203125" style="52" customWidth="1"/>
    <col min="15365" max="15365" width="13.109375" style="52" customWidth="1"/>
    <col min="15366" max="15367" width="9.88671875" style="52" customWidth="1"/>
    <col min="15368" max="15368" width="15.5546875" style="52" bestFit="1" customWidth="1"/>
    <col min="15369" max="15370" width="11" style="52" customWidth="1"/>
    <col min="15371" max="15371" width="11.5546875" style="52" customWidth="1"/>
    <col min="15372" max="15372" width="11.6640625" style="52" bestFit="1" customWidth="1"/>
    <col min="15373" max="15374" width="10.44140625" style="52" customWidth="1"/>
    <col min="15375" max="15375" width="15" style="52" bestFit="1" customWidth="1"/>
    <col min="15376" max="15377" width="11.5546875" style="52"/>
    <col min="15378" max="15378" width="13.88671875" style="52" bestFit="1" customWidth="1"/>
    <col min="15379" max="15615" width="11.5546875" style="52"/>
    <col min="15616" max="15616" width="8.33203125" style="52" customWidth="1"/>
    <col min="15617" max="15617" width="21.109375" style="52" bestFit="1" customWidth="1"/>
    <col min="15618" max="15618" width="7.88671875" style="52" customWidth="1"/>
    <col min="15619" max="15619" width="23.5546875" style="52" bestFit="1" customWidth="1"/>
    <col min="15620" max="15620" width="10.33203125" style="52" customWidth="1"/>
    <col min="15621" max="15621" width="13.109375" style="52" customWidth="1"/>
    <col min="15622" max="15623" width="9.88671875" style="52" customWidth="1"/>
    <col min="15624" max="15624" width="15.5546875" style="52" bestFit="1" customWidth="1"/>
    <col min="15625" max="15626" width="11" style="52" customWidth="1"/>
    <col min="15627" max="15627" width="11.5546875" style="52" customWidth="1"/>
    <col min="15628" max="15628" width="11.6640625" style="52" bestFit="1" customWidth="1"/>
    <col min="15629" max="15630" width="10.44140625" style="52" customWidth="1"/>
    <col min="15631" max="15631" width="15" style="52" bestFit="1" customWidth="1"/>
    <col min="15632" max="15633" width="11.5546875" style="52"/>
    <col min="15634" max="15634" width="13.88671875" style="52" bestFit="1" customWidth="1"/>
    <col min="15635" max="15871" width="11.5546875" style="52"/>
    <col min="15872" max="15872" width="8.33203125" style="52" customWidth="1"/>
    <col min="15873" max="15873" width="21.109375" style="52" bestFit="1" customWidth="1"/>
    <col min="15874" max="15874" width="7.88671875" style="52" customWidth="1"/>
    <col min="15875" max="15875" width="23.5546875" style="52" bestFit="1" customWidth="1"/>
    <col min="15876" max="15876" width="10.33203125" style="52" customWidth="1"/>
    <col min="15877" max="15877" width="13.109375" style="52" customWidth="1"/>
    <col min="15878" max="15879" width="9.88671875" style="52" customWidth="1"/>
    <col min="15880" max="15880" width="15.5546875" style="52" bestFit="1" customWidth="1"/>
    <col min="15881" max="15882" width="11" style="52" customWidth="1"/>
    <col min="15883" max="15883" width="11.5546875" style="52" customWidth="1"/>
    <col min="15884" max="15884" width="11.6640625" style="52" bestFit="1" customWidth="1"/>
    <col min="15885" max="15886" width="10.44140625" style="52" customWidth="1"/>
    <col min="15887" max="15887" width="15" style="52" bestFit="1" customWidth="1"/>
    <col min="15888" max="15889" width="11.5546875" style="52"/>
    <col min="15890" max="15890" width="13.88671875" style="52" bestFit="1" customWidth="1"/>
    <col min="15891" max="16127" width="11.5546875" style="52"/>
    <col min="16128" max="16128" width="8.33203125" style="52" customWidth="1"/>
    <col min="16129" max="16129" width="21.109375" style="52" bestFit="1" customWidth="1"/>
    <col min="16130" max="16130" width="7.88671875" style="52" customWidth="1"/>
    <col min="16131" max="16131" width="23.5546875" style="52" bestFit="1" customWidth="1"/>
    <col min="16132" max="16132" width="10.33203125" style="52" customWidth="1"/>
    <col min="16133" max="16133" width="13.109375" style="52" customWidth="1"/>
    <col min="16134" max="16135" width="9.88671875" style="52" customWidth="1"/>
    <col min="16136" max="16136" width="15.5546875" style="52" bestFit="1" customWidth="1"/>
    <col min="16137" max="16138" width="11" style="52" customWidth="1"/>
    <col min="16139" max="16139" width="11.5546875" style="52" customWidth="1"/>
    <col min="16140" max="16140" width="11.6640625" style="52" bestFit="1" customWidth="1"/>
    <col min="16141" max="16142" width="10.44140625" style="52" customWidth="1"/>
    <col min="16143" max="16143" width="15" style="52" bestFit="1" customWidth="1"/>
    <col min="16144" max="16145" width="11.5546875" style="52"/>
    <col min="16146" max="16146" width="13.88671875" style="52" bestFit="1" customWidth="1"/>
    <col min="16147" max="16381" width="11.5546875" style="52"/>
    <col min="16382" max="16384" width="11.44140625" style="52" customWidth="1"/>
  </cols>
  <sheetData>
    <row r="1" spans="1:21" ht="26.25" customHeight="1" x14ac:dyDescent="0.2">
      <c r="A1" s="601" t="s">
        <v>637</v>
      </c>
      <c r="B1" s="601"/>
      <c r="C1" s="601"/>
      <c r="D1" s="601"/>
      <c r="E1" s="601"/>
      <c r="F1" s="601"/>
      <c r="G1" s="601"/>
      <c r="H1" s="601"/>
      <c r="I1" s="601"/>
      <c r="J1" s="601"/>
      <c r="K1" s="601"/>
      <c r="L1" s="601"/>
      <c r="M1" s="601"/>
      <c r="N1" s="601"/>
      <c r="O1" s="601"/>
      <c r="P1" s="165"/>
      <c r="Q1" s="165"/>
    </row>
    <row r="2" spans="1:21" s="53" customFormat="1" ht="43.8" customHeight="1" x14ac:dyDescent="0.3">
      <c r="A2" s="82" t="s">
        <v>2</v>
      </c>
      <c r="B2" s="83" t="str">
        <f>Basisdaten!B5</f>
        <v>Gemeinde Oberhaching</v>
      </c>
      <c r="C2" s="83"/>
      <c r="E2" s="168" t="s">
        <v>3</v>
      </c>
      <c r="F2" s="654">
        <f>Basisdaten!E5</f>
        <v>0</v>
      </c>
      <c r="G2" s="654"/>
      <c r="H2" s="654"/>
      <c r="I2" s="654"/>
      <c r="J2" s="654"/>
      <c r="K2" s="654"/>
      <c r="L2" s="168" t="s">
        <v>1</v>
      </c>
      <c r="M2" s="168"/>
      <c r="N2" s="656">
        <f>Basisdaten!E3</f>
        <v>0</v>
      </c>
      <c r="O2" s="656"/>
      <c r="P2" s="90"/>
      <c r="Q2" s="166"/>
      <c r="R2" s="166"/>
      <c r="S2" s="167"/>
      <c r="U2" s="91"/>
    </row>
    <row r="3" spans="1:21" s="53" customFormat="1" ht="19.5" customHeight="1" x14ac:dyDescent="0.3">
      <c r="A3" s="85" t="s">
        <v>4</v>
      </c>
      <c r="B3" s="83" t="s">
        <v>271</v>
      </c>
      <c r="C3" s="83"/>
      <c r="E3" s="85"/>
      <c r="F3" s="170"/>
      <c r="G3" s="171"/>
      <c r="H3" s="171"/>
      <c r="I3" s="171"/>
      <c r="J3" s="171"/>
      <c r="K3" s="169"/>
      <c r="L3" s="172"/>
      <c r="M3" s="168"/>
      <c r="N3" s="168"/>
      <c r="O3" s="168"/>
      <c r="Q3" s="166"/>
      <c r="R3" s="166"/>
      <c r="S3" s="167"/>
      <c r="U3" s="91"/>
    </row>
    <row r="4" spans="1:21" s="53" customFormat="1" ht="19.5" customHeight="1" x14ac:dyDescent="0.3">
      <c r="D4" s="418"/>
      <c r="E4" s="173"/>
      <c r="F4" s="85"/>
      <c r="G4" s="85"/>
      <c r="H4" s="85"/>
      <c r="I4" s="85"/>
      <c r="J4" s="85"/>
      <c r="K4" s="410" t="s">
        <v>358</v>
      </c>
      <c r="L4" s="411">
        <f>'SVS Innenglas'!F77</f>
        <v>0</v>
      </c>
      <c r="M4" s="172"/>
      <c r="N4" s="184" t="s">
        <v>106</v>
      </c>
      <c r="O4" s="174"/>
      <c r="Q4" s="166"/>
      <c r="R4" s="166"/>
      <c r="S4" s="167"/>
      <c r="U4" s="91"/>
    </row>
    <row r="5" spans="1:21" ht="5.25" customHeight="1" x14ac:dyDescent="0.2">
      <c r="B5" s="177"/>
      <c r="I5" s="105"/>
      <c r="J5" s="105"/>
      <c r="K5" s="178"/>
      <c r="L5" s="179"/>
      <c r="M5" s="179"/>
      <c r="N5" s="179"/>
      <c r="O5" s="179"/>
      <c r="Q5" s="175"/>
      <c r="R5" s="175"/>
      <c r="S5" s="176"/>
      <c r="U5" s="106"/>
    </row>
    <row r="6" spans="1:21" s="56" customFormat="1" ht="28.8" customHeight="1" x14ac:dyDescent="0.25">
      <c r="B6" s="180"/>
      <c r="C6" s="180"/>
      <c r="D6" s="180"/>
      <c r="E6" s="181"/>
      <c r="F6" s="657" t="s">
        <v>946</v>
      </c>
      <c r="G6" s="658"/>
      <c r="H6" s="182"/>
      <c r="I6" s="657" t="s">
        <v>77</v>
      </c>
      <c r="J6" s="658"/>
      <c r="K6" s="183"/>
      <c r="L6" s="184"/>
      <c r="M6" s="659" t="s">
        <v>107</v>
      </c>
      <c r="N6" s="659"/>
      <c r="O6" s="185"/>
    </row>
    <row r="7" spans="1:21" s="57" customFormat="1" ht="45" customHeight="1" x14ac:dyDescent="0.3">
      <c r="A7" s="54" t="s">
        <v>272</v>
      </c>
      <c r="B7" s="54" t="s">
        <v>250</v>
      </c>
      <c r="C7" s="54" t="s">
        <v>248</v>
      </c>
      <c r="D7" s="54" t="s">
        <v>103</v>
      </c>
      <c r="E7" s="94" t="s">
        <v>249</v>
      </c>
      <c r="F7" s="94" t="s">
        <v>108</v>
      </c>
      <c r="G7" s="94" t="s">
        <v>109</v>
      </c>
      <c r="H7" s="55" t="s">
        <v>76</v>
      </c>
      <c r="I7" s="94" t="s">
        <v>108</v>
      </c>
      <c r="J7" s="94" t="s">
        <v>109</v>
      </c>
      <c r="K7" s="95" t="s">
        <v>78</v>
      </c>
      <c r="L7" s="96" t="s">
        <v>79</v>
      </c>
      <c r="M7" s="94" t="s">
        <v>108</v>
      </c>
      <c r="N7" s="94" t="s">
        <v>109</v>
      </c>
      <c r="O7" s="96" t="s">
        <v>110</v>
      </c>
    </row>
    <row r="8" spans="1:21" s="57" customFormat="1" ht="27.6" customHeight="1" x14ac:dyDescent="0.3">
      <c r="A8" s="302" t="str">
        <f>'Kalk UHR KiGa Am Rain'!A8</f>
        <v>Kindergarten</v>
      </c>
      <c r="B8" s="302" t="str">
        <f>'Kalk UHR KiGa Am Rain'!B8</f>
        <v>KG</v>
      </c>
      <c r="C8" s="302" t="str">
        <f>IF('Kalk UHR KiGa Am Rain'!C8="","",'Kalk UHR KiGa Am Rain'!C8)</f>
        <v/>
      </c>
      <c r="D8" s="302" t="str">
        <f>'Kalk UHR KiGa Am Rain'!D8</f>
        <v>Treppenhaus zum EG</v>
      </c>
      <c r="E8" s="229"/>
      <c r="F8" s="195">
        <v>0</v>
      </c>
      <c r="G8" s="195">
        <v>12</v>
      </c>
      <c r="H8" s="186">
        <f>+E8*F8+E8*G8</f>
        <v>0</v>
      </c>
      <c r="I8" s="549"/>
      <c r="J8" s="187"/>
      <c r="K8" s="188">
        <f>IFERROR((F8*E8/I8),0)+IFERROR((G8*E8/J8),0)</f>
        <v>0</v>
      </c>
      <c r="L8" s="548">
        <f>L$4</f>
        <v>0</v>
      </c>
      <c r="M8" s="189">
        <f>IF(ISERROR(L8/I8),0,L8/I8)</f>
        <v>0</v>
      </c>
      <c r="N8" s="189">
        <f>IF(ISERROR(L8/J8),0,L8/J8)</f>
        <v>0</v>
      </c>
      <c r="O8" s="189">
        <f>K8*L8</f>
        <v>0</v>
      </c>
    </row>
    <row r="9" spans="1:21" s="57" customFormat="1" ht="24" customHeight="1" x14ac:dyDescent="0.3">
      <c r="A9" s="302" t="str">
        <f>'Kalk UHR KiGa Am Rain'!A9</f>
        <v>Kindergarten</v>
      </c>
      <c r="B9" s="302" t="str">
        <f>'Kalk UHR KiGa Am Rain'!B9</f>
        <v>KG</v>
      </c>
      <c r="C9" s="302" t="str">
        <f>IF('Kalk UHR KiGa Am Rain'!C9="","",'Kalk UHR KiGa Am Rain'!C9)</f>
        <v/>
      </c>
      <c r="D9" s="302" t="str">
        <f>'Kalk UHR KiGa Am Rain'!D9</f>
        <v>Treppenhaus Vorplatz</v>
      </c>
      <c r="E9" s="229"/>
      <c r="F9" s="195">
        <v>0</v>
      </c>
      <c r="G9" s="195">
        <v>12</v>
      </c>
      <c r="H9" s="186">
        <f t="shared" ref="H9:H76" si="0">+E9*F9+E9*G9</f>
        <v>0</v>
      </c>
      <c r="I9" s="549"/>
      <c r="J9" s="187"/>
      <c r="K9" s="188">
        <f t="shared" ref="K9:K76" si="1">IFERROR((F9*E9/I9),0)+IFERROR((G9*E9/J9),0)</f>
        <v>0</v>
      </c>
      <c r="L9" s="548">
        <f t="shared" ref="L9:L76" si="2">L$4</f>
        <v>0</v>
      </c>
      <c r="M9" s="189">
        <f t="shared" ref="M9:M76" si="3">IF(ISERROR(L9/I9),0,L9/I9)</f>
        <v>0</v>
      </c>
      <c r="N9" s="189">
        <f t="shared" ref="N9:N76" si="4">IF(ISERROR(L9/J9),0,L9/J9)</f>
        <v>0</v>
      </c>
      <c r="O9" s="189">
        <f t="shared" ref="O9:O76" si="5">K9*L9</f>
        <v>0</v>
      </c>
    </row>
    <row r="10" spans="1:21" s="57" customFormat="1" ht="24" customHeight="1" x14ac:dyDescent="0.3">
      <c r="A10" s="302" t="str">
        <f>'Kalk UHR KiGa Am Rain'!A10</f>
        <v>Kindergarten</v>
      </c>
      <c r="B10" s="302" t="str">
        <f>'Kalk UHR KiGa Am Rain'!B10</f>
        <v>KG</v>
      </c>
      <c r="C10" s="302" t="str">
        <f>IF('Kalk UHR KiGa Am Rain'!C10="","",'Kalk UHR KiGa Am Rain'!C10)</f>
        <v/>
      </c>
      <c r="D10" s="302" t="str">
        <f>'Kalk UHR KiGa Am Rain'!D10</f>
        <v>Bunker (Pellets)</v>
      </c>
      <c r="E10" s="229"/>
      <c r="F10" s="195">
        <v>0</v>
      </c>
      <c r="G10" s="195">
        <v>12</v>
      </c>
      <c r="H10" s="186">
        <f t="shared" ref="H10" si="6">+E10*F10+E10*G10</f>
        <v>0</v>
      </c>
      <c r="I10" s="549"/>
      <c r="J10" s="187"/>
      <c r="K10" s="188">
        <f t="shared" ref="K10" si="7">IFERROR((F10*E10/I10),0)+IFERROR((G10*E10/J10),0)</f>
        <v>0</v>
      </c>
      <c r="L10" s="548">
        <f t="shared" si="2"/>
        <v>0</v>
      </c>
      <c r="M10" s="189">
        <f t="shared" ref="M10" si="8">IF(ISERROR(L10/I10),0,L10/I10)</f>
        <v>0</v>
      </c>
      <c r="N10" s="189">
        <f t="shared" ref="N10" si="9">IF(ISERROR(L10/J10),0,L10/J10)</f>
        <v>0</v>
      </c>
      <c r="O10" s="189">
        <f t="shared" ref="O10" si="10">K10*L10</f>
        <v>0</v>
      </c>
    </row>
    <row r="11" spans="1:21" s="57" customFormat="1" ht="24" customHeight="1" x14ac:dyDescent="0.3">
      <c r="A11" s="302" t="str">
        <f>'Kalk UHR KiGa Am Rain'!A11</f>
        <v>Kindergarten</v>
      </c>
      <c r="B11" s="302" t="str">
        <f>'Kalk UHR KiGa Am Rain'!B11</f>
        <v>KG</v>
      </c>
      <c r="C11" s="302" t="str">
        <f>IF('Kalk UHR KiGa Am Rain'!C11="","",'Kalk UHR KiGa Am Rain'!C11)</f>
        <v/>
      </c>
      <c r="D11" s="302" t="str">
        <f>'Kalk UHR KiGa Am Rain'!D11</f>
        <v>Heizung</v>
      </c>
      <c r="E11" s="229"/>
      <c r="F11" s="195">
        <v>0</v>
      </c>
      <c r="G11" s="195">
        <v>12</v>
      </c>
      <c r="H11" s="186">
        <f t="shared" ref="H11" si="11">+E11*F11+E11*G11</f>
        <v>0</v>
      </c>
      <c r="I11" s="549"/>
      <c r="J11" s="187"/>
      <c r="K11" s="188">
        <f t="shared" ref="K11" si="12">IFERROR((F11*E11/I11),0)+IFERROR((G11*E11/J11),0)</f>
        <v>0</v>
      </c>
      <c r="L11" s="548">
        <f t="shared" si="2"/>
        <v>0</v>
      </c>
      <c r="M11" s="189">
        <f t="shared" ref="M11" si="13">IF(ISERROR(L11/I11),0,L11/I11)</f>
        <v>0</v>
      </c>
      <c r="N11" s="189">
        <f t="shared" ref="N11" si="14">IF(ISERROR(L11/J11),0,L11/J11)</f>
        <v>0</v>
      </c>
      <c r="O11" s="189">
        <f t="shared" ref="O11" si="15">K11*L11</f>
        <v>0</v>
      </c>
    </row>
    <row r="12" spans="1:21" s="57" customFormat="1" ht="24" customHeight="1" x14ac:dyDescent="0.3">
      <c r="A12" s="302" t="str">
        <f>'Kalk UHR KiGa Am Rain'!A12</f>
        <v>Kindergarten</v>
      </c>
      <c r="B12" s="302" t="str">
        <f>'Kalk UHR KiGa Am Rain'!B12</f>
        <v>KG</v>
      </c>
      <c r="C12" s="302" t="str">
        <f>IF('Kalk UHR KiGa Am Rain'!C12="","",'Kalk UHR KiGa Am Rain'!C12)</f>
        <v/>
      </c>
      <c r="D12" s="302" t="str">
        <f>'Kalk UHR KiGa Am Rain'!D12</f>
        <v>Zähler</v>
      </c>
      <c r="E12" s="229"/>
      <c r="F12" s="195">
        <v>0</v>
      </c>
      <c r="G12" s="195">
        <v>12</v>
      </c>
      <c r="H12" s="186">
        <f t="shared" ref="H12" si="16">+E12*F12+E12*G12</f>
        <v>0</v>
      </c>
      <c r="I12" s="549"/>
      <c r="J12" s="187"/>
      <c r="K12" s="188">
        <f t="shared" ref="K12" si="17">IFERROR((F12*E12/I12),0)+IFERROR((G12*E12/J12),0)</f>
        <v>0</v>
      </c>
      <c r="L12" s="548">
        <f t="shared" si="2"/>
        <v>0</v>
      </c>
      <c r="M12" s="189">
        <f t="shared" ref="M12" si="18">IF(ISERROR(L12/I12),0,L12/I12)</f>
        <v>0</v>
      </c>
      <c r="N12" s="189">
        <f t="shared" ref="N12" si="19">IF(ISERROR(L12/J12),0,L12/J12)</f>
        <v>0</v>
      </c>
      <c r="O12" s="189">
        <f t="shared" ref="O12" si="20">K12*L12</f>
        <v>0</v>
      </c>
    </row>
    <row r="13" spans="1:21" s="57" customFormat="1" ht="24" customHeight="1" x14ac:dyDescent="0.3">
      <c r="A13" s="302" t="str">
        <f>'Kalk UHR KiGa Am Rain'!A13</f>
        <v>Kindergarten</v>
      </c>
      <c r="B13" s="302" t="str">
        <f>'Kalk UHR KiGa Am Rain'!B13</f>
        <v>KG</v>
      </c>
      <c r="C13" s="302" t="str">
        <f>IF('Kalk UHR KiGa Am Rain'!C13="","",'Kalk UHR KiGa Am Rain'!C13)</f>
        <v/>
      </c>
      <c r="D13" s="302" t="str">
        <f>'Kalk UHR KiGa Am Rain'!D13</f>
        <v>Stromanschluss</v>
      </c>
      <c r="E13" s="229"/>
      <c r="F13" s="195">
        <v>0</v>
      </c>
      <c r="G13" s="195">
        <v>12</v>
      </c>
      <c r="H13" s="186">
        <f t="shared" ref="H13:H14" si="21">+E13*F13+E13*G13</f>
        <v>0</v>
      </c>
      <c r="I13" s="549"/>
      <c r="J13" s="187"/>
      <c r="K13" s="188">
        <f t="shared" ref="K13:K14" si="22">IFERROR((F13*E13/I13),0)+IFERROR((G13*E13/J13),0)</f>
        <v>0</v>
      </c>
      <c r="L13" s="548">
        <f t="shared" si="2"/>
        <v>0</v>
      </c>
      <c r="M13" s="189">
        <f t="shared" ref="M13:M14" si="23">IF(ISERROR(L13/I13),0,L13/I13)</f>
        <v>0</v>
      </c>
      <c r="N13" s="189">
        <f t="shared" ref="N13:N14" si="24">IF(ISERROR(L13/J13),0,L13/J13)</f>
        <v>0</v>
      </c>
      <c r="O13" s="189">
        <f t="shared" ref="O13:O14" si="25">K13*L13</f>
        <v>0</v>
      </c>
    </row>
    <row r="14" spans="1:21" s="57" customFormat="1" ht="24" customHeight="1" x14ac:dyDescent="0.3">
      <c r="A14" s="302" t="str">
        <f>'Kalk UHR KiGa Am Rain'!A14</f>
        <v>Kindergarten</v>
      </c>
      <c r="B14" s="302" t="str">
        <f>'Kalk UHR KiGa Am Rain'!B14</f>
        <v>KG</v>
      </c>
      <c r="C14" s="302" t="str">
        <f>IF('Kalk UHR KiGa Am Rain'!C14="","",'Kalk UHR KiGa Am Rain'!C14)</f>
        <v/>
      </c>
      <c r="D14" s="302" t="str">
        <f>'Kalk UHR KiGa Am Rain'!D14</f>
        <v>Lager</v>
      </c>
      <c r="E14" s="229"/>
      <c r="F14" s="195">
        <v>0</v>
      </c>
      <c r="G14" s="195">
        <v>12</v>
      </c>
      <c r="H14" s="186">
        <f t="shared" si="21"/>
        <v>0</v>
      </c>
      <c r="I14" s="549"/>
      <c r="J14" s="187"/>
      <c r="K14" s="188">
        <f t="shared" si="22"/>
        <v>0</v>
      </c>
      <c r="L14" s="548">
        <f t="shared" si="2"/>
        <v>0</v>
      </c>
      <c r="M14" s="189">
        <f t="shared" si="23"/>
        <v>0</v>
      </c>
      <c r="N14" s="189">
        <f t="shared" si="24"/>
        <v>0</v>
      </c>
      <c r="O14" s="189">
        <f t="shared" si="25"/>
        <v>0</v>
      </c>
    </row>
    <row r="15" spans="1:21" s="57" customFormat="1" ht="24" customHeight="1" x14ac:dyDescent="0.3">
      <c r="A15" s="302" t="str">
        <f>'Kalk UHR KiGa Am Rain'!A15</f>
        <v>Kindergarten</v>
      </c>
      <c r="B15" s="302" t="str">
        <f>'Kalk UHR KiGa Am Rain'!B15</f>
        <v>KG</v>
      </c>
      <c r="C15" s="302" t="str">
        <f>IF('Kalk UHR KiGa Am Rain'!C15="","",'Kalk UHR KiGa Am Rain'!C15)</f>
        <v/>
      </c>
      <c r="D15" s="302" t="str">
        <f>'Kalk UHR KiGa Am Rain'!D15</f>
        <v>Flur</v>
      </c>
      <c r="E15" s="229"/>
      <c r="F15" s="195">
        <v>0</v>
      </c>
      <c r="G15" s="195">
        <v>12</v>
      </c>
      <c r="H15" s="186">
        <f t="shared" si="0"/>
        <v>0</v>
      </c>
      <c r="I15" s="549"/>
      <c r="J15" s="187"/>
      <c r="K15" s="188">
        <f t="shared" si="1"/>
        <v>0</v>
      </c>
      <c r="L15" s="548">
        <f t="shared" si="2"/>
        <v>0</v>
      </c>
      <c r="M15" s="189">
        <f t="shared" si="3"/>
        <v>0</v>
      </c>
      <c r="N15" s="189">
        <f t="shared" si="4"/>
        <v>0</v>
      </c>
      <c r="O15" s="189">
        <f t="shared" si="5"/>
        <v>0</v>
      </c>
    </row>
    <row r="16" spans="1:21" s="57" customFormat="1" ht="24" customHeight="1" x14ac:dyDescent="0.3">
      <c r="A16" s="302" t="str">
        <f>'Kalk UHR KiGa Am Rain'!A16</f>
        <v>Kindergarten</v>
      </c>
      <c r="B16" s="302" t="str">
        <f>'Kalk UHR KiGa Am Rain'!B16</f>
        <v>KG</v>
      </c>
      <c r="C16" s="302" t="str">
        <f>IF('Kalk UHR KiGa Am Rain'!C16="","",'Kalk UHR KiGa Am Rain'!C16)</f>
        <v/>
      </c>
      <c r="D16" s="302" t="str">
        <f>'Kalk UHR KiGa Am Rain'!D16</f>
        <v>Reserveraum</v>
      </c>
      <c r="E16" s="229"/>
      <c r="F16" s="195">
        <v>0</v>
      </c>
      <c r="G16" s="195">
        <v>12</v>
      </c>
      <c r="H16" s="186">
        <f t="shared" si="0"/>
        <v>0</v>
      </c>
      <c r="I16" s="549"/>
      <c r="J16" s="187"/>
      <c r="K16" s="188">
        <f t="shared" si="1"/>
        <v>0</v>
      </c>
      <c r="L16" s="548">
        <f t="shared" si="2"/>
        <v>0</v>
      </c>
      <c r="M16" s="189">
        <f t="shared" si="3"/>
        <v>0</v>
      </c>
      <c r="N16" s="189">
        <f t="shared" si="4"/>
        <v>0</v>
      </c>
      <c r="O16" s="189">
        <f t="shared" si="5"/>
        <v>0</v>
      </c>
    </row>
    <row r="17" spans="1:15" s="57" customFormat="1" ht="24" customHeight="1" x14ac:dyDescent="0.3">
      <c r="A17" s="302" t="str">
        <f>'Kalk UHR KiGa Am Rain'!A17</f>
        <v>Kindergarten</v>
      </c>
      <c r="B17" s="302" t="str">
        <f>'Kalk UHR KiGa Am Rain'!B17</f>
        <v>KG</v>
      </c>
      <c r="C17" s="302" t="str">
        <f>IF('Kalk UHR KiGa Am Rain'!C17="","",'Kalk UHR KiGa Am Rain'!C17)</f>
        <v/>
      </c>
      <c r="D17" s="302" t="str">
        <f>'Kalk UHR KiGa Am Rain'!D17</f>
        <v>Abstellraum</v>
      </c>
      <c r="E17" s="229"/>
      <c r="F17" s="195">
        <v>0</v>
      </c>
      <c r="G17" s="195">
        <v>12</v>
      </c>
      <c r="H17" s="186">
        <f>+E17*F17+E17*G17</f>
        <v>0</v>
      </c>
      <c r="I17" s="549"/>
      <c r="J17" s="187"/>
      <c r="K17" s="188">
        <f t="shared" si="1"/>
        <v>0</v>
      </c>
      <c r="L17" s="548">
        <f t="shared" si="2"/>
        <v>0</v>
      </c>
      <c r="M17" s="189">
        <f>IF(ISERROR(L17/I17),0,L17/I17)</f>
        <v>0</v>
      </c>
      <c r="N17" s="189">
        <f>IF(ISERROR(L17/J17),0,L17/J17)</f>
        <v>0</v>
      </c>
      <c r="O17" s="189">
        <f>K17*L17</f>
        <v>0</v>
      </c>
    </row>
    <row r="18" spans="1:15" s="57" customFormat="1" ht="24" customHeight="1" x14ac:dyDescent="0.3">
      <c r="A18" s="302" t="str">
        <f>'Kalk UHR KiGa Am Rain'!A18</f>
        <v>Kindergarten</v>
      </c>
      <c r="B18" s="302" t="str">
        <f>'Kalk UHR KiGa Am Rain'!B18</f>
        <v>KG</v>
      </c>
      <c r="C18" s="302" t="str">
        <f>IF('Kalk UHR KiGa Am Rain'!C18="","",'Kalk UHR KiGa Am Rain'!C18)</f>
        <v/>
      </c>
      <c r="D18" s="302" t="str">
        <f>'Kalk UHR KiGa Am Rain'!D18</f>
        <v>Betreuung 1</v>
      </c>
      <c r="E18" s="229">
        <v>1.2</v>
      </c>
      <c r="F18" s="195">
        <v>0</v>
      </c>
      <c r="G18" s="195">
        <v>12</v>
      </c>
      <c r="H18" s="186">
        <f t="shared" si="0"/>
        <v>14.399999999999999</v>
      </c>
      <c r="I18" s="549"/>
      <c r="J18" s="187"/>
      <c r="K18" s="188">
        <f t="shared" si="1"/>
        <v>0</v>
      </c>
      <c r="L18" s="548">
        <f t="shared" si="2"/>
        <v>0</v>
      </c>
      <c r="M18" s="189">
        <f t="shared" si="3"/>
        <v>0</v>
      </c>
      <c r="N18" s="189">
        <f t="shared" si="4"/>
        <v>0</v>
      </c>
      <c r="O18" s="189">
        <f t="shared" si="5"/>
        <v>0</v>
      </c>
    </row>
    <row r="19" spans="1:15" s="57" customFormat="1" ht="24" customHeight="1" x14ac:dyDescent="0.3">
      <c r="A19" s="302" t="str">
        <f>'Kalk UHR KiGa Am Rain'!A19</f>
        <v>Kindergarten</v>
      </c>
      <c r="B19" s="302" t="str">
        <f>'Kalk UHR KiGa Am Rain'!B19</f>
        <v>KG</v>
      </c>
      <c r="C19" s="302" t="str">
        <f>IF('Kalk UHR KiGa Am Rain'!C19="","",'Kalk UHR KiGa Am Rain'!C19)</f>
        <v/>
      </c>
      <c r="D19" s="302" t="str">
        <f>'Kalk UHR KiGa Am Rain'!D19</f>
        <v>Betreuung 2</v>
      </c>
      <c r="E19" s="229"/>
      <c r="F19" s="195">
        <v>0</v>
      </c>
      <c r="G19" s="195">
        <v>12</v>
      </c>
      <c r="H19" s="186">
        <f t="shared" si="0"/>
        <v>0</v>
      </c>
      <c r="I19" s="549"/>
      <c r="J19" s="187"/>
      <c r="K19" s="188">
        <f t="shared" si="1"/>
        <v>0</v>
      </c>
      <c r="L19" s="548">
        <f t="shared" si="2"/>
        <v>0</v>
      </c>
      <c r="M19" s="189">
        <f t="shared" si="3"/>
        <v>0</v>
      </c>
      <c r="N19" s="189">
        <f t="shared" si="4"/>
        <v>0</v>
      </c>
      <c r="O19" s="189">
        <f t="shared" si="5"/>
        <v>0</v>
      </c>
    </row>
    <row r="20" spans="1:15" s="57" customFormat="1" ht="24" customHeight="1" x14ac:dyDescent="0.3">
      <c r="A20" s="302" t="str">
        <f>'Kalk UHR KiGa Am Rain'!A20</f>
        <v>Kindergarten</v>
      </c>
      <c r="B20" s="302" t="str">
        <f>'Kalk UHR KiGa Am Rain'!B20</f>
        <v>KG</v>
      </c>
      <c r="C20" s="302" t="str">
        <f>IF('Kalk UHR KiGa Am Rain'!C20="","",'Kalk UHR KiGa Am Rain'!C20)</f>
        <v/>
      </c>
      <c r="D20" s="302" t="str">
        <f>'Kalk UHR KiGa Am Rain'!D20</f>
        <v>Krabbelgruppe 2</v>
      </c>
      <c r="E20" s="229">
        <v>0.2</v>
      </c>
      <c r="F20" s="195">
        <v>0</v>
      </c>
      <c r="G20" s="195">
        <v>12</v>
      </c>
      <c r="H20" s="186">
        <f t="shared" si="0"/>
        <v>2.4000000000000004</v>
      </c>
      <c r="I20" s="549"/>
      <c r="J20" s="187"/>
      <c r="K20" s="188">
        <f t="shared" si="1"/>
        <v>0</v>
      </c>
      <c r="L20" s="548">
        <f t="shared" si="2"/>
        <v>0</v>
      </c>
      <c r="M20" s="189">
        <f t="shared" si="3"/>
        <v>0</v>
      </c>
      <c r="N20" s="189">
        <f t="shared" si="4"/>
        <v>0</v>
      </c>
      <c r="O20" s="189">
        <f t="shared" si="5"/>
        <v>0</v>
      </c>
    </row>
    <row r="21" spans="1:15" s="57" customFormat="1" ht="24" customHeight="1" x14ac:dyDescent="0.3">
      <c r="A21" s="302" t="str">
        <f>'Kalk UHR KiGa Am Rain'!A21</f>
        <v>Kindergarten</v>
      </c>
      <c r="B21" s="302" t="str">
        <f>'Kalk UHR KiGa Am Rain'!B21</f>
        <v>KG</v>
      </c>
      <c r="C21" s="302" t="str">
        <f>IF('Kalk UHR KiGa Am Rain'!C21="","",'Kalk UHR KiGa Am Rain'!C21)</f>
        <v/>
      </c>
      <c r="D21" s="302" t="str">
        <f>'Kalk UHR KiGa Am Rain'!D21</f>
        <v>Spielhaus</v>
      </c>
      <c r="E21" s="229"/>
      <c r="F21" s="195">
        <v>0</v>
      </c>
      <c r="G21" s="195">
        <v>12</v>
      </c>
      <c r="H21" s="186">
        <f t="shared" si="0"/>
        <v>0</v>
      </c>
      <c r="I21" s="549"/>
      <c r="J21" s="187"/>
      <c r="K21" s="188">
        <f t="shared" si="1"/>
        <v>0</v>
      </c>
      <c r="L21" s="548">
        <f t="shared" si="2"/>
        <v>0</v>
      </c>
      <c r="M21" s="189">
        <f t="shared" si="3"/>
        <v>0</v>
      </c>
      <c r="N21" s="189">
        <f t="shared" si="4"/>
        <v>0</v>
      </c>
      <c r="O21" s="189">
        <f t="shared" si="5"/>
        <v>0</v>
      </c>
    </row>
    <row r="22" spans="1:15" s="57" customFormat="1" ht="32.4" customHeight="1" x14ac:dyDescent="0.3">
      <c r="A22" s="302" t="str">
        <f>'Kalk UHR KiGa Am Rain'!A22</f>
        <v>Kindergarten</v>
      </c>
      <c r="B22" s="302" t="str">
        <f>'Kalk UHR KiGa Am Rain'!B22</f>
        <v>KG</v>
      </c>
      <c r="C22" s="302" t="str">
        <f>IF('Kalk UHR KiGa Am Rain'!C22="","",'Kalk UHR KiGa Am Rain'!C22)</f>
        <v/>
      </c>
      <c r="D22" s="302" t="str">
        <f>'Kalk UHR KiGa Am Rain'!D22</f>
        <v>Abstellraum</v>
      </c>
      <c r="E22" s="229"/>
      <c r="F22" s="195">
        <v>0</v>
      </c>
      <c r="G22" s="195">
        <v>12</v>
      </c>
      <c r="H22" s="186">
        <f t="shared" si="0"/>
        <v>0</v>
      </c>
      <c r="I22" s="549"/>
      <c r="J22" s="187"/>
      <c r="K22" s="188">
        <f t="shared" si="1"/>
        <v>0</v>
      </c>
      <c r="L22" s="548">
        <f t="shared" si="2"/>
        <v>0</v>
      </c>
      <c r="M22" s="189">
        <f t="shared" si="3"/>
        <v>0</v>
      </c>
      <c r="N22" s="189">
        <f t="shared" si="4"/>
        <v>0</v>
      </c>
      <c r="O22" s="189">
        <f t="shared" si="5"/>
        <v>0</v>
      </c>
    </row>
    <row r="23" spans="1:15" s="57" customFormat="1" ht="26.4" customHeight="1" x14ac:dyDescent="0.3">
      <c r="A23" s="302" t="str">
        <f>'Kalk UHR KiGa Am Rain'!A23</f>
        <v>Kindergarten</v>
      </c>
      <c r="B23" s="302" t="str">
        <f>'Kalk UHR KiGa Am Rain'!B23</f>
        <v>KG</v>
      </c>
      <c r="C23" s="302" t="str">
        <f>IF('Kalk UHR KiGa Am Rain'!C23="","",'Kalk UHR KiGa Am Rain'!C23)</f>
        <v/>
      </c>
      <c r="D23" s="302" t="str">
        <f>'Kalk UHR KiGa Am Rain'!D23</f>
        <v>Flur</v>
      </c>
      <c r="E23" s="229"/>
      <c r="F23" s="195">
        <v>0</v>
      </c>
      <c r="G23" s="195">
        <v>12</v>
      </c>
      <c r="H23" s="186">
        <f t="shared" si="0"/>
        <v>0</v>
      </c>
      <c r="I23" s="549"/>
      <c r="J23" s="187"/>
      <c r="K23" s="188">
        <f t="shared" si="1"/>
        <v>0</v>
      </c>
      <c r="L23" s="548">
        <f t="shared" si="2"/>
        <v>0</v>
      </c>
      <c r="M23" s="189">
        <f t="shared" si="3"/>
        <v>0</v>
      </c>
      <c r="N23" s="189">
        <f t="shared" si="4"/>
        <v>0</v>
      </c>
      <c r="O23" s="189">
        <f t="shared" si="5"/>
        <v>0</v>
      </c>
    </row>
    <row r="24" spans="1:15" s="57" customFormat="1" ht="24" customHeight="1" x14ac:dyDescent="0.3">
      <c r="A24" s="302" t="str">
        <f>'Kalk UHR KiGa Am Rain'!A24</f>
        <v>Kindergarten</v>
      </c>
      <c r="B24" s="302" t="str">
        <f>'Kalk UHR KiGa Am Rain'!B24</f>
        <v>KG</v>
      </c>
      <c r="C24" s="302" t="str">
        <f>IF('Kalk UHR KiGa Am Rain'!C24="","",'Kalk UHR KiGa Am Rain'!C24)</f>
        <v/>
      </c>
      <c r="D24" s="302" t="str">
        <f>'Kalk UHR KiGa Am Rain'!D24</f>
        <v>Krabbelgruppe 1</v>
      </c>
      <c r="E24" s="229">
        <v>1.2</v>
      </c>
      <c r="F24" s="195">
        <v>0</v>
      </c>
      <c r="G24" s="195">
        <v>12</v>
      </c>
      <c r="H24" s="186">
        <f t="shared" si="0"/>
        <v>14.399999999999999</v>
      </c>
      <c r="I24" s="549"/>
      <c r="J24" s="187"/>
      <c r="K24" s="188">
        <f t="shared" si="1"/>
        <v>0</v>
      </c>
      <c r="L24" s="548">
        <f t="shared" si="2"/>
        <v>0</v>
      </c>
      <c r="M24" s="189">
        <f t="shared" si="3"/>
        <v>0</v>
      </c>
      <c r="N24" s="189">
        <f t="shared" si="4"/>
        <v>0</v>
      </c>
      <c r="O24" s="189">
        <f t="shared" si="5"/>
        <v>0</v>
      </c>
    </row>
    <row r="25" spans="1:15" s="57" customFormat="1" ht="24" customHeight="1" x14ac:dyDescent="0.3">
      <c r="A25" s="302" t="str">
        <f>'Kalk UHR KiGa Am Rain'!A25</f>
        <v>Kindergarten</v>
      </c>
      <c r="B25" s="302" t="str">
        <f>'Kalk UHR KiGa Am Rain'!B25</f>
        <v>KG</v>
      </c>
      <c r="C25" s="302" t="str">
        <f>IF('Kalk UHR KiGa Am Rain'!C25="","",'Kalk UHR KiGa Am Rain'!C25)</f>
        <v/>
      </c>
      <c r="D25" s="302" t="str">
        <f>'Kalk UHR KiGa Am Rain'!D25</f>
        <v>Garderobe</v>
      </c>
      <c r="E25" s="229"/>
      <c r="F25" s="195">
        <v>0</v>
      </c>
      <c r="G25" s="195">
        <v>12</v>
      </c>
      <c r="H25" s="186">
        <f t="shared" si="0"/>
        <v>0</v>
      </c>
      <c r="I25" s="549"/>
      <c r="J25" s="187"/>
      <c r="K25" s="188">
        <f t="shared" si="1"/>
        <v>0</v>
      </c>
      <c r="L25" s="548">
        <f t="shared" si="2"/>
        <v>0</v>
      </c>
      <c r="M25" s="189">
        <f t="shared" si="3"/>
        <v>0</v>
      </c>
      <c r="N25" s="189">
        <f t="shared" si="4"/>
        <v>0</v>
      </c>
      <c r="O25" s="189">
        <f t="shared" si="5"/>
        <v>0</v>
      </c>
    </row>
    <row r="26" spans="1:15" s="57" customFormat="1" ht="24.6" customHeight="1" x14ac:dyDescent="0.3">
      <c r="A26" s="302" t="str">
        <f>'Kalk UHR KiGa Am Rain'!A26</f>
        <v>Kindergarten</v>
      </c>
      <c r="B26" s="302" t="str">
        <f>'Kalk UHR KiGa Am Rain'!B26</f>
        <v>KG</v>
      </c>
      <c r="C26" s="302" t="str">
        <f>IF('Kalk UHR KiGa Am Rain'!C26="","",'Kalk UHR KiGa Am Rain'!C26)</f>
        <v/>
      </c>
      <c r="D26" s="302" t="str">
        <f>'Kalk UHR KiGa Am Rain'!D26</f>
        <v>WC und Wickelraum</v>
      </c>
      <c r="E26" s="229"/>
      <c r="F26" s="195">
        <v>0</v>
      </c>
      <c r="G26" s="195">
        <v>12</v>
      </c>
      <c r="H26" s="186">
        <f t="shared" si="0"/>
        <v>0</v>
      </c>
      <c r="I26" s="549"/>
      <c r="J26" s="187"/>
      <c r="K26" s="188">
        <f t="shared" si="1"/>
        <v>0</v>
      </c>
      <c r="L26" s="548">
        <f t="shared" si="2"/>
        <v>0</v>
      </c>
      <c r="M26" s="189">
        <f t="shared" si="3"/>
        <v>0</v>
      </c>
      <c r="N26" s="189">
        <f t="shared" si="4"/>
        <v>0</v>
      </c>
      <c r="O26" s="189">
        <f t="shared" si="5"/>
        <v>0</v>
      </c>
    </row>
    <row r="27" spans="1:15" s="57" customFormat="1" ht="24" customHeight="1" x14ac:dyDescent="0.3">
      <c r="A27" s="302" t="str">
        <f>'Kalk UHR KiGa Am Rain'!A27</f>
        <v>Kindergarten</v>
      </c>
      <c r="B27" s="302" t="str">
        <f>'Kalk UHR KiGa Am Rain'!B27</f>
        <v>KG</v>
      </c>
      <c r="C27" s="302" t="str">
        <f>IF('Kalk UHR KiGa Am Rain'!C27="","",'Kalk UHR KiGa Am Rain'!C27)</f>
        <v/>
      </c>
      <c r="D27" s="302" t="str">
        <f>'Kalk UHR KiGa Am Rain'!D27</f>
        <v>Waschraum</v>
      </c>
      <c r="E27" s="229"/>
      <c r="F27" s="195">
        <v>0</v>
      </c>
      <c r="G27" s="195">
        <v>12</v>
      </c>
      <c r="H27" s="186">
        <f t="shared" si="0"/>
        <v>0</v>
      </c>
      <c r="I27" s="549"/>
      <c r="J27" s="187"/>
      <c r="K27" s="188">
        <f t="shared" si="1"/>
        <v>0</v>
      </c>
      <c r="L27" s="548">
        <f t="shared" si="2"/>
        <v>0</v>
      </c>
      <c r="M27" s="189">
        <f t="shared" si="3"/>
        <v>0</v>
      </c>
      <c r="N27" s="189">
        <f t="shared" si="4"/>
        <v>0</v>
      </c>
      <c r="O27" s="189">
        <f t="shared" si="5"/>
        <v>0</v>
      </c>
    </row>
    <row r="28" spans="1:15" s="57" customFormat="1" ht="24" customHeight="1" x14ac:dyDescent="0.3">
      <c r="A28" s="302" t="str">
        <f>'Kalk UHR KiGa Am Rain'!A28</f>
        <v>Kindergarten</v>
      </c>
      <c r="B28" s="302" t="str">
        <f>'Kalk UHR KiGa Am Rain'!B28</f>
        <v>KG</v>
      </c>
      <c r="C28" s="302" t="str">
        <f>IF('Kalk UHR KiGa Am Rain'!C28="","",'Kalk UHR KiGa Am Rain'!C28)</f>
        <v/>
      </c>
      <c r="D28" s="302" t="str">
        <f>'Kalk UHR KiGa Am Rain'!D28</f>
        <v>Küche</v>
      </c>
      <c r="E28" s="229"/>
      <c r="F28" s="195">
        <v>0</v>
      </c>
      <c r="G28" s="195">
        <v>12</v>
      </c>
      <c r="H28" s="186">
        <f t="shared" si="0"/>
        <v>0</v>
      </c>
      <c r="I28" s="549"/>
      <c r="J28" s="187"/>
      <c r="K28" s="188">
        <f t="shared" si="1"/>
        <v>0</v>
      </c>
      <c r="L28" s="548">
        <f t="shared" si="2"/>
        <v>0</v>
      </c>
      <c r="M28" s="189">
        <f t="shared" si="3"/>
        <v>0</v>
      </c>
      <c r="N28" s="189">
        <f t="shared" si="4"/>
        <v>0</v>
      </c>
      <c r="O28" s="189">
        <f t="shared" si="5"/>
        <v>0</v>
      </c>
    </row>
    <row r="29" spans="1:15" s="57" customFormat="1" ht="24" customHeight="1" x14ac:dyDescent="0.3">
      <c r="A29" s="302" t="str">
        <f>'Kalk UHR KiGa Am Rain'!A29</f>
        <v>Kindergarten</v>
      </c>
      <c r="B29" s="302" t="str">
        <f>'Kalk UHR KiGa Am Rain'!B29</f>
        <v>KG</v>
      </c>
      <c r="C29" s="302" t="str">
        <f>IF('Kalk UHR KiGa Am Rain'!C29="","",'Kalk UHR KiGa Am Rain'!C29)</f>
        <v/>
      </c>
      <c r="D29" s="302" t="str">
        <f>'Kalk UHR KiGa Am Rain'!D29</f>
        <v>Büro</v>
      </c>
      <c r="E29" s="229"/>
      <c r="F29" s="195">
        <v>0</v>
      </c>
      <c r="G29" s="195">
        <v>12</v>
      </c>
      <c r="H29" s="186">
        <f t="shared" si="0"/>
        <v>0</v>
      </c>
      <c r="I29" s="549"/>
      <c r="J29" s="187"/>
      <c r="K29" s="188">
        <f t="shared" si="1"/>
        <v>0</v>
      </c>
      <c r="L29" s="548">
        <f t="shared" si="2"/>
        <v>0</v>
      </c>
      <c r="M29" s="189">
        <f t="shared" si="3"/>
        <v>0</v>
      </c>
      <c r="N29" s="189">
        <f t="shared" si="4"/>
        <v>0</v>
      </c>
      <c r="O29" s="189">
        <f t="shared" si="5"/>
        <v>0</v>
      </c>
    </row>
    <row r="30" spans="1:15" s="57" customFormat="1" ht="24" customHeight="1" x14ac:dyDescent="0.3">
      <c r="A30" s="302" t="str">
        <f>'Kalk UHR KiGa Am Rain'!A30</f>
        <v>Kindergarten</v>
      </c>
      <c r="B30" s="302" t="str">
        <f>'Kalk UHR KiGa Am Rain'!B30</f>
        <v>EG</v>
      </c>
      <c r="C30" s="302" t="str">
        <f>IF('Kalk UHR KiGa Am Rain'!C30="","",'Kalk UHR KiGa Am Rain'!C30)</f>
        <v/>
      </c>
      <c r="D30" s="302" t="str">
        <f>'Kalk UHR KiGa Am Rain'!D30</f>
        <v>Windfang</v>
      </c>
      <c r="E30" s="229">
        <v>18.899999999999999</v>
      </c>
      <c r="F30" s="195">
        <v>0</v>
      </c>
      <c r="G30" s="195">
        <v>12</v>
      </c>
      <c r="H30" s="186">
        <f t="shared" si="0"/>
        <v>226.79999999999998</v>
      </c>
      <c r="I30" s="549"/>
      <c r="J30" s="187"/>
      <c r="K30" s="188">
        <f t="shared" si="1"/>
        <v>0</v>
      </c>
      <c r="L30" s="548">
        <f t="shared" si="2"/>
        <v>0</v>
      </c>
      <c r="M30" s="189">
        <f t="shared" si="3"/>
        <v>0</v>
      </c>
      <c r="N30" s="189">
        <f t="shared" si="4"/>
        <v>0</v>
      </c>
      <c r="O30" s="189">
        <f t="shared" si="5"/>
        <v>0</v>
      </c>
    </row>
    <row r="31" spans="1:15" s="57" customFormat="1" ht="24" customHeight="1" x14ac:dyDescent="0.3">
      <c r="A31" s="302" t="str">
        <f>'Kalk UHR KiGa Am Rain'!A31</f>
        <v>Kindergarten</v>
      </c>
      <c r="B31" s="302" t="str">
        <f>'Kalk UHR KiGa Am Rain'!B31</f>
        <v>EG</v>
      </c>
      <c r="C31" s="302" t="str">
        <f>IF('Kalk UHR KiGa Am Rain'!C31="","",'Kalk UHR KiGa Am Rain'!C31)</f>
        <v/>
      </c>
      <c r="D31" s="302" t="str">
        <f>'Kalk UHR KiGa Am Rain'!D31</f>
        <v>Halle</v>
      </c>
      <c r="E31" s="229">
        <v>3.6</v>
      </c>
      <c r="F31" s="195">
        <v>0</v>
      </c>
      <c r="G31" s="195">
        <v>12</v>
      </c>
      <c r="H31" s="186">
        <f t="shared" si="0"/>
        <v>43.2</v>
      </c>
      <c r="I31" s="549"/>
      <c r="J31" s="187"/>
      <c r="K31" s="188">
        <f t="shared" si="1"/>
        <v>0</v>
      </c>
      <c r="L31" s="548">
        <f t="shared" si="2"/>
        <v>0</v>
      </c>
      <c r="M31" s="189">
        <f t="shared" si="3"/>
        <v>0</v>
      </c>
      <c r="N31" s="189">
        <f t="shared" si="4"/>
        <v>0</v>
      </c>
      <c r="O31" s="189">
        <f t="shared" si="5"/>
        <v>0</v>
      </c>
    </row>
    <row r="32" spans="1:15" s="57" customFormat="1" ht="24" customHeight="1" x14ac:dyDescent="0.3">
      <c r="A32" s="302" t="str">
        <f>'Kalk UHR KiGa Am Rain'!A32</f>
        <v>Kindergarten</v>
      </c>
      <c r="B32" s="302" t="str">
        <f>'Kalk UHR KiGa Am Rain'!B32</f>
        <v>EG</v>
      </c>
      <c r="C32" s="302" t="str">
        <f>IF('Kalk UHR KiGa Am Rain'!C32="","",'Kalk UHR KiGa Am Rain'!C32)</f>
        <v/>
      </c>
      <c r="D32" s="302" t="str">
        <f>'Kalk UHR KiGa Am Rain'!D32</f>
        <v>Flur 1</v>
      </c>
      <c r="E32" s="229"/>
      <c r="F32" s="195">
        <v>0</v>
      </c>
      <c r="G32" s="195">
        <v>12</v>
      </c>
      <c r="H32" s="186">
        <f t="shared" si="0"/>
        <v>0</v>
      </c>
      <c r="I32" s="549"/>
      <c r="J32" s="187"/>
      <c r="K32" s="188">
        <f t="shared" si="1"/>
        <v>0</v>
      </c>
      <c r="L32" s="548">
        <f t="shared" si="2"/>
        <v>0</v>
      </c>
      <c r="M32" s="189">
        <f t="shared" si="3"/>
        <v>0</v>
      </c>
      <c r="N32" s="189">
        <f t="shared" si="4"/>
        <v>0</v>
      </c>
      <c r="O32" s="189">
        <f t="shared" si="5"/>
        <v>0</v>
      </c>
    </row>
    <row r="33" spans="1:15" s="57" customFormat="1" ht="24" customHeight="1" x14ac:dyDescent="0.3">
      <c r="A33" s="302" t="str">
        <f>'Kalk UHR KiGa Am Rain'!A33</f>
        <v>Kindergarten</v>
      </c>
      <c r="B33" s="302" t="str">
        <f>'Kalk UHR KiGa Am Rain'!B33</f>
        <v>EG</v>
      </c>
      <c r="C33" s="302" t="str">
        <f>IF('Kalk UHR KiGa Am Rain'!C33="","",'Kalk UHR KiGa Am Rain'!C33)</f>
        <v/>
      </c>
      <c r="D33" s="302" t="str">
        <f>'Kalk UHR KiGa Am Rain'!D33</f>
        <v>Flur 2</v>
      </c>
      <c r="E33" s="229"/>
      <c r="F33" s="195">
        <v>0</v>
      </c>
      <c r="G33" s="195">
        <v>12</v>
      </c>
      <c r="H33" s="186">
        <f t="shared" si="0"/>
        <v>0</v>
      </c>
      <c r="I33" s="549"/>
      <c r="J33" s="187"/>
      <c r="K33" s="188">
        <f t="shared" si="1"/>
        <v>0</v>
      </c>
      <c r="L33" s="548">
        <f t="shared" si="2"/>
        <v>0</v>
      </c>
      <c r="M33" s="189">
        <f t="shared" si="3"/>
        <v>0</v>
      </c>
      <c r="N33" s="189">
        <f t="shared" si="4"/>
        <v>0</v>
      </c>
      <c r="O33" s="189">
        <f t="shared" si="5"/>
        <v>0</v>
      </c>
    </row>
    <row r="34" spans="1:15" s="57" customFormat="1" ht="24" customHeight="1" x14ac:dyDescent="0.3">
      <c r="A34" s="302" t="str">
        <f>'Kalk UHR KiGa Am Rain'!A34</f>
        <v>Kindergarten</v>
      </c>
      <c r="B34" s="302" t="str">
        <f>'Kalk UHR KiGa Am Rain'!B34</f>
        <v>EG</v>
      </c>
      <c r="C34" s="302" t="str">
        <f>IF('Kalk UHR KiGa Am Rain'!C34="","",'Kalk UHR KiGa Am Rain'!C34)</f>
        <v/>
      </c>
      <c r="D34" s="302" t="str">
        <f>'Kalk UHR KiGa Am Rain'!D34</f>
        <v>Flur 3</v>
      </c>
      <c r="E34" s="229"/>
      <c r="F34" s="195">
        <v>0</v>
      </c>
      <c r="G34" s="195">
        <v>12</v>
      </c>
      <c r="H34" s="186">
        <f t="shared" si="0"/>
        <v>0</v>
      </c>
      <c r="I34" s="549"/>
      <c r="J34" s="187"/>
      <c r="K34" s="188">
        <f t="shared" si="1"/>
        <v>0</v>
      </c>
      <c r="L34" s="548">
        <f t="shared" si="2"/>
        <v>0</v>
      </c>
      <c r="M34" s="189">
        <f t="shared" si="3"/>
        <v>0</v>
      </c>
      <c r="N34" s="189">
        <f t="shared" si="4"/>
        <v>0</v>
      </c>
      <c r="O34" s="189">
        <f t="shared" si="5"/>
        <v>0</v>
      </c>
    </row>
    <row r="35" spans="1:15" s="57" customFormat="1" ht="29.4" customHeight="1" x14ac:dyDescent="0.3">
      <c r="A35" s="302" t="str">
        <f>'Kalk UHR KiGa Am Rain'!A35</f>
        <v>Kindergarten</v>
      </c>
      <c r="B35" s="302" t="str">
        <f>'Kalk UHR KiGa Am Rain'!B35</f>
        <v>EG</v>
      </c>
      <c r="C35" s="302" t="str">
        <f>IF('Kalk UHR KiGa Am Rain'!C35="","",'Kalk UHR KiGa Am Rain'!C35)</f>
        <v/>
      </c>
      <c r="D35" s="302" t="str">
        <f>'Kalk UHR KiGa Am Rain'!D35</f>
        <v>Zwischenflur</v>
      </c>
      <c r="E35" s="229"/>
      <c r="F35" s="195">
        <v>0</v>
      </c>
      <c r="G35" s="195">
        <v>12</v>
      </c>
      <c r="H35" s="186">
        <f t="shared" si="0"/>
        <v>0</v>
      </c>
      <c r="I35" s="549"/>
      <c r="J35" s="187"/>
      <c r="K35" s="188">
        <f t="shared" si="1"/>
        <v>0</v>
      </c>
      <c r="L35" s="548">
        <f t="shared" si="2"/>
        <v>0</v>
      </c>
      <c r="M35" s="189">
        <f t="shared" si="3"/>
        <v>0</v>
      </c>
      <c r="N35" s="189">
        <f t="shared" si="4"/>
        <v>0</v>
      </c>
      <c r="O35" s="189">
        <f t="shared" si="5"/>
        <v>0</v>
      </c>
    </row>
    <row r="36" spans="1:15" s="57" customFormat="1" ht="29.4" customHeight="1" x14ac:dyDescent="0.3">
      <c r="A36" s="302" t="str">
        <f>'Kalk UHR KiGa Am Rain'!A36</f>
        <v>Kindergarten</v>
      </c>
      <c r="B36" s="302" t="str">
        <f>'Kalk UHR KiGa Am Rain'!B36</f>
        <v>EG</v>
      </c>
      <c r="C36" s="302" t="str">
        <f>IF('Kalk UHR KiGa Am Rain'!C36="","",'Kalk UHR KiGa Am Rain'!C36)</f>
        <v/>
      </c>
      <c r="D36" s="302" t="str">
        <f>'Kalk UHR KiGa Am Rain'!D36</f>
        <v>Vorplatz</v>
      </c>
      <c r="E36" s="229"/>
      <c r="F36" s="195">
        <v>0</v>
      </c>
      <c r="G36" s="195">
        <v>12</v>
      </c>
      <c r="H36" s="186">
        <f t="shared" si="0"/>
        <v>0</v>
      </c>
      <c r="I36" s="549"/>
      <c r="J36" s="187"/>
      <c r="K36" s="188">
        <f t="shared" si="1"/>
        <v>0</v>
      </c>
      <c r="L36" s="548">
        <f t="shared" si="2"/>
        <v>0</v>
      </c>
      <c r="M36" s="189">
        <f t="shared" si="3"/>
        <v>0</v>
      </c>
      <c r="N36" s="189">
        <f t="shared" si="4"/>
        <v>0</v>
      </c>
      <c r="O36" s="189">
        <f t="shared" si="5"/>
        <v>0</v>
      </c>
    </row>
    <row r="37" spans="1:15" s="57" customFormat="1" ht="29.4" customHeight="1" x14ac:dyDescent="0.3">
      <c r="A37" s="302" t="str">
        <f>'Kalk UHR KiGa Am Rain'!A37</f>
        <v>Kindergarten</v>
      </c>
      <c r="B37" s="302" t="str">
        <f>'Kalk UHR KiGa Am Rain'!B37</f>
        <v>EG</v>
      </c>
      <c r="C37" s="302" t="str">
        <f>IF('Kalk UHR KiGa Am Rain'!C37="","",'Kalk UHR KiGa Am Rain'!C37)</f>
        <v/>
      </c>
      <c r="D37" s="302" t="str">
        <f>'Kalk UHR KiGa Am Rain'!D37</f>
        <v>Treppenhaus Vorplatz</v>
      </c>
      <c r="E37" s="229"/>
      <c r="F37" s="195">
        <v>0</v>
      </c>
      <c r="G37" s="195">
        <v>12</v>
      </c>
      <c r="H37" s="186">
        <f t="shared" ref="H37" si="26">+E37*F37+E37*G37</f>
        <v>0</v>
      </c>
      <c r="I37" s="549"/>
      <c r="J37" s="187"/>
      <c r="K37" s="188">
        <f t="shared" ref="K37" si="27">IFERROR((F37*E37/I37),0)+IFERROR((G37*E37/J37),0)</f>
        <v>0</v>
      </c>
      <c r="L37" s="548">
        <f t="shared" si="2"/>
        <v>0</v>
      </c>
      <c r="M37" s="189">
        <f t="shared" ref="M37" si="28">IF(ISERROR(L37/I37),0,L37/I37)</f>
        <v>0</v>
      </c>
      <c r="N37" s="189">
        <f t="shared" ref="N37" si="29">IF(ISERROR(L37/J37),0,L37/J37)</f>
        <v>0</v>
      </c>
      <c r="O37" s="189">
        <f t="shared" ref="O37" si="30">K37*L37</f>
        <v>0</v>
      </c>
    </row>
    <row r="38" spans="1:15" s="57" customFormat="1" ht="29.4" customHeight="1" x14ac:dyDescent="0.3">
      <c r="A38" s="302" t="str">
        <f>'Kalk UHR KiGa Am Rain'!A38</f>
        <v>Kindergarten</v>
      </c>
      <c r="B38" s="302" t="str">
        <f>'Kalk UHR KiGa Am Rain'!B38</f>
        <v>EG</v>
      </c>
      <c r="C38" s="302" t="str">
        <f>IF('Kalk UHR KiGa Am Rain'!C38="","",'Kalk UHR KiGa Am Rain'!C38)</f>
        <v/>
      </c>
      <c r="D38" s="302" t="str">
        <f>'Kalk UHR KiGa Am Rain'!D38</f>
        <v>Treppenhaus zum OG</v>
      </c>
      <c r="E38" s="229"/>
      <c r="F38" s="195">
        <v>0</v>
      </c>
      <c r="G38" s="195">
        <v>12</v>
      </c>
      <c r="H38" s="186">
        <f t="shared" si="0"/>
        <v>0</v>
      </c>
      <c r="I38" s="549"/>
      <c r="J38" s="187"/>
      <c r="K38" s="188">
        <f t="shared" si="1"/>
        <v>0</v>
      </c>
      <c r="L38" s="548">
        <f t="shared" si="2"/>
        <v>0</v>
      </c>
      <c r="M38" s="189">
        <f t="shared" si="3"/>
        <v>0</v>
      </c>
      <c r="N38" s="189">
        <f t="shared" si="4"/>
        <v>0</v>
      </c>
      <c r="O38" s="189">
        <f t="shared" si="5"/>
        <v>0</v>
      </c>
    </row>
    <row r="39" spans="1:15" s="57" customFormat="1" ht="29.4" customHeight="1" x14ac:dyDescent="0.3">
      <c r="A39" s="302" t="str">
        <f>'Kalk UHR KiGa Am Rain'!A39</f>
        <v>Kindergarten</v>
      </c>
      <c r="B39" s="302" t="str">
        <f>'Kalk UHR KiGa Am Rain'!B39</f>
        <v>EG</v>
      </c>
      <c r="C39" s="302" t="str">
        <f>IF('Kalk UHR KiGa Am Rain'!C39="","",'Kalk UHR KiGa Am Rain'!C39)</f>
        <v/>
      </c>
      <c r="D39" s="302" t="str">
        <f>'Kalk UHR KiGa Am Rain'!D39</f>
        <v>Intensivraum 1 Kinderküche</v>
      </c>
      <c r="E39" s="229">
        <v>0.9</v>
      </c>
      <c r="F39" s="195">
        <v>0</v>
      </c>
      <c r="G39" s="195">
        <v>12</v>
      </c>
      <c r="H39" s="186">
        <f t="shared" si="0"/>
        <v>10.8</v>
      </c>
      <c r="I39" s="549"/>
      <c r="J39" s="187"/>
      <c r="K39" s="188">
        <f t="shared" si="1"/>
        <v>0</v>
      </c>
      <c r="L39" s="548">
        <f t="shared" si="2"/>
        <v>0</v>
      </c>
      <c r="M39" s="189">
        <f t="shared" si="3"/>
        <v>0</v>
      </c>
      <c r="N39" s="189">
        <f t="shared" si="4"/>
        <v>0</v>
      </c>
      <c r="O39" s="189">
        <f t="shared" si="5"/>
        <v>0</v>
      </c>
    </row>
    <row r="40" spans="1:15" s="57" customFormat="1" ht="29.4" customHeight="1" x14ac:dyDescent="0.3">
      <c r="A40" s="302" t="str">
        <f>'Kalk UHR KiGa Am Rain'!A40</f>
        <v>Kindergarten</v>
      </c>
      <c r="B40" s="302" t="str">
        <f>'Kalk UHR KiGa Am Rain'!B40</f>
        <v>EG</v>
      </c>
      <c r="C40" s="302" t="str">
        <f>IF('Kalk UHR KiGa Am Rain'!C40="","",'Kalk UHR KiGa Am Rain'!C40)</f>
        <v/>
      </c>
      <c r="D40" s="302" t="str">
        <f>'Kalk UHR KiGa Am Rain'!D40</f>
        <v>Garderobe 2</v>
      </c>
      <c r="E40" s="229">
        <v>0.8</v>
      </c>
      <c r="F40" s="195">
        <v>0</v>
      </c>
      <c r="G40" s="195">
        <v>12</v>
      </c>
      <c r="H40" s="186">
        <f t="shared" si="0"/>
        <v>9.6000000000000014</v>
      </c>
      <c r="I40" s="549"/>
      <c r="J40" s="187"/>
      <c r="K40" s="188">
        <f t="shared" si="1"/>
        <v>0</v>
      </c>
      <c r="L40" s="548">
        <f t="shared" si="2"/>
        <v>0</v>
      </c>
      <c r="M40" s="189">
        <f t="shared" si="3"/>
        <v>0</v>
      </c>
      <c r="N40" s="189">
        <f t="shared" si="4"/>
        <v>0</v>
      </c>
      <c r="O40" s="189">
        <f t="shared" si="5"/>
        <v>0</v>
      </c>
    </row>
    <row r="41" spans="1:15" s="57" customFormat="1" ht="29.4" customHeight="1" x14ac:dyDescent="0.3">
      <c r="A41" s="302" t="str">
        <f>'Kalk UHR KiGa Am Rain'!A41</f>
        <v>Kindergarten</v>
      </c>
      <c r="B41" s="302" t="str">
        <f>'Kalk UHR KiGa Am Rain'!B41</f>
        <v>EG</v>
      </c>
      <c r="C41" s="302" t="str">
        <f>IF('Kalk UHR KiGa Am Rain'!C41="","",'Kalk UHR KiGa Am Rain'!C41)</f>
        <v/>
      </c>
      <c r="D41" s="302" t="str">
        <f>'Kalk UHR KiGa Am Rain'!D41</f>
        <v>Waschraum 2</v>
      </c>
      <c r="E41" s="229"/>
      <c r="F41" s="195">
        <v>0</v>
      </c>
      <c r="G41" s="195">
        <v>12</v>
      </c>
      <c r="H41" s="186">
        <f t="shared" si="0"/>
        <v>0</v>
      </c>
      <c r="I41" s="549"/>
      <c r="J41" s="187"/>
      <c r="K41" s="188">
        <f t="shared" si="1"/>
        <v>0</v>
      </c>
      <c r="L41" s="548">
        <f t="shared" si="2"/>
        <v>0</v>
      </c>
      <c r="M41" s="189">
        <f t="shared" si="3"/>
        <v>0</v>
      </c>
      <c r="N41" s="189">
        <f t="shared" si="4"/>
        <v>0</v>
      </c>
      <c r="O41" s="189">
        <f t="shared" si="5"/>
        <v>0</v>
      </c>
    </row>
    <row r="42" spans="1:15" s="57" customFormat="1" ht="29.4" customHeight="1" x14ac:dyDescent="0.3">
      <c r="A42" s="302" t="str">
        <f>'Kalk UHR KiGa Am Rain'!A42</f>
        <v>Kindergarten</v>
      </c>
      <c r="B42" s="302" t="str">
        <f>'Kalk UHR KiGa Am Rain'!B42</f>
        <v>EG</v>
      </c>
      <c r="C42" s="302" t="str">
        <f>IF('Kalk UHR KiGa Am Rain'!C42="","",'Kalk UHR KiGa Am Rain'!C42)</f>
        <v/>
      </c>
      <c r="D42" s="302" t="str">
        <f>'Kalk UHR KiGa Am Rain'!D42</f>
        <v>Waschraum 3</v>
      </c>
      <c r="E42" s="229"/>
      <c r="F42" s="195">
        <v>0</v>
      </c>
      <c r="G42" s="195">
        <v>12</v>
      </c>
      <c r="H42" s="186">
        <f t="shared" si="0"/>
        <v>0</v>
      </c>
      <c r="I42" s="549"/>
      <c r="J42" s="187"/>
      <c r="K42" s="188">
        <f t="shared" si="1"/>
        <v>0</v>
      </c>
      <c r="L42" s="548">
        <f t="shared" si="2"/>
        <v>0</v>
      </c>
      <c r="M42" s="189">
        <f t="shared" si="3"/>
        <v>0</v>
      </c>
      <c r="N42" s="189">
        <f t="shared" si="4"/>
        <v>0</v>
      </c>
      <c r="O42" s="189">
        <f t="shared" si="5"/>
        <v>0</v>
      </c>
    </row>
    <row r="43" spans="1:15" s="57" customFormat="1" ht="29.4" customHeight="1" x14ac:dyDescent="0.3">
      <c r="A43" s="302" t="str">
        <f>'Kalk UHR KiGa Am Rain'!A43</f>
        <v>Kindergarten</v>
      </c>
      <c r="B43" s="302" t="str">
        <f>'Kalk UHR KiGa Am Rain'!B43</f>
        <v>EG</v>
      </c>
      <c r="C43" s="302" t="str">
        <f>IF('Kalk UHR KiGa Am Rain'!C43="","",'Kalk UHR KiGa Am Rain'!C43)</f>
        <v/>
      </c>
      <c r="D43" s="302" t="str">
        <f>'Kalk UHR KiGa Am Rain'!D43</f>
        <v>Garderobe 3</v>
      </c>
      <c r="E43" s="229">
        <v>0.8</v>
      </c>
      <c r="F43" s="195">
        <v>0</v>
      </c>
      <c r="G43" s="195">
        <v>12</v>
      </c>
      <c r="H43" s="186">
        <f t="shared" si="0"/>
        <v>9.6000000000000014</v>
      </c>
      <c r="I43" s="549"/>
      <c r="J43" s="187"/>
      <c r="K43" s="188">
        <f t="shared" si="1"/>
        <v>0</v>
      </c>
      <c r="L43" s="548">
        <f t="shared" si="2"/>
        <v>0</v>
      </c>
      <c r="M43" s="189">
        <f t="shared" si="3"/>
        <v>0</v>
      </c>
      <c r="N43" s="189">
        <f t="shared" si="4"/>
        <v>0</v>
      </c>
      <c r="O43" s="189">
        <f t="shared" si="5"/>
        <v>0</v>
      </c>
    </row>
    <row r="44" spans="1:15" s="57" customFormat="1" ht="29.4" customHeight="1" x14ac:dyDescent="0.3">
      <c r="A44" s="302" t="str">
        <f>'Kalk UHR KiGa Am Rain'!A44</f>
        <v>Kindergarten</v>
      </c>
      <c r="B44" s="302" t="str">
        <f>'Kalk UHR KiGa Am Rain'!B44</f>
        <v>EG</v>
      </c>
      <c r="C44" s="302" t="str">
        <f>IF('Kalk UHR KiGa Am Rain'!C44="","",'Kalk UHR KiGa Am Rain'!C44)</f>
        <v/>
      </c>
      <c r="D44" s="302" t="str">
        <f>'Kalk UHR KiGa Am Rain'!D44</f>
        <v>Intensivraum 3</v>
      </c>
      <c r="E44" s="229">
        <v>0.9</v>
      </c>
      <c r="F44" s="195">
        <v>0</v>
      </c>
      <c r="G44" s="195">
        <v>12</v>
      </c>
      <c r="H44" s="186">
        <f t="shared" si="0"/>
        <v>10.8</v>
      </c>
      <c r="I44" s="549"/>
      <c r="J44" s="187"/>
      <c r="K44" s="188">
        <f t="shared" si="1"/>
        <v>0</v>
      </c>
      <c r="L44" s="548">
        <f t="shared" si="2"/>
        <v>0</v>
      </c>
      <c r="M44" s="189">
        <f t="shared" si="3"/>
        <v>0</v>
      </c>
      <c r="N44" s="189">
        <f t="shared" si="4"/>
        <v>0</v>
      </c>
      <c r="O44" s="189">
        <f t="shared" si="5"/>
        <v>0</v>
      </c>
    </row>
    <row r="45" spans="1:15" s="57" customFormat="1" ht="29.4" customHeight="1" x14ac:dyDescent="0.3">
      <c r="A45" s="302" t="str">
        <f>'Kalk UHR KiGa Am Rain'!A45</f>
        <v>Kindergarten</v>
      </c>
      <c r="B45" s="302" t="str">
        <f>'Kalk UHR KiGa Am Rain'!B45</f>
        <v>EG</v>
      </c>
      <c r="C45" s="302" t="str">
        <f>IF('Kalk UHR KiGa Am Rain'!C45="","",'Kalk UHR KiGa Am Rain'!C45)</f>
        <v/>
      </c>
      <c r="D45" s="302" t="str">
        <f>'Kalk UHR KiGa Am Rain'!D45</f>
        <v>Gruppenraum 3</v>
      </c>
      <c r="E45" s="229"/>
      <c r="F45" s="195">
        <v>0</v>
      </c>
      <c r="G45" s="195">
        <v>12</v>
      </c>
      <c r="H45" s="186">
        <f t="shared" si="0"/>
        <v>0</v>
      </c>
      <c r="I45" s="549"/>
      <c r="J45" s="187"/>
      <c r="K45" s="188">
        <f t="shared" si="1"/>
        <v>0</v>
      </c>
      <c r="L45" s="548">
        <f t="shared" si="2"/>
        <v>0</v>
      </c>
      <c r="M45" s="189">
        <f t="shared" si="3"/>
        <v>0</v>
      </c>
      <c r="N45" s="189">
        <f t="shared" si="4"/>
        <v>0</v>
      </c>
      <c r="O45" s="189">
        <f t="shared" si="5"/>
        <v>0</v>
      </c>
    </row>
    <row r="46" spans="1:15" s="57" customFormat="1" ht="29.4" customHeight="1" x14ac:dyDescent="0.3">
      <c r="A46" s="302" t="str">
        <f>'Kalk UHR KiGa Am Rain'!A46</f>
        <v>Kindergarten</v>
      </c>
      <c r="B46" s="302" t="str">
        <f>'Kalk UHR KiGa Am Rain'!B46</f>
        <v>EG</v>
      </c>
      <c r="C46" s="302" t="str">
        <f>IF('Kalk UHR KiGa Am Rain'!C46="","",'Kalk UHR KiGa Am Rain'!C46)</f>
        <v/>
      </c>
      <c r="D46" s="302" t="str">
        <f>'Kalk UHR KiGa Am Rain'!D46</f>
        <v>Treppe zur Galerie</v>
      </c>
      <c r="E46" s="229"/>
      <c r="F46" s="195">
        <v>0</v>
      </c>
      <c r="G46" s="195">
        <v>12</v>
      </c>
      <c r="H46" s="186">
        <f t="shared" si="0"/>
        <v>0</v>
      </c>
      <c r="I46" s="549"/>
      <c r="J46" s="187"/>
      <c r="K46" s="188">
        <f t="shared" si="1"/>
        <v>0</v>
      </c>
      <c r="L46" s="548">
        <f t="shared" si="2"/>
        <v>0</v>
      </c>
      <c r="M46" s="189">
        <f t="shared" si="3"/>
        <v>0</v>
      </c>
      <c r="N46" s="189">
        <f t="shared" si="4"/>
        <v>0</v>
      </c>
      <c r="O46" s="189">
        <f t="shared" si="5"/>
        <v>0</v>
      </c>
    </row>
    <row r="47" spans="1:15" s="57" customFormat="1" ht="29.4" customHeight="1" x14ac:dyDescent="0.3">
      <c r="A47" s="302" t="str">
        <f>'Kalk UHR KiGa Am Rain'!A47</f>
        <v>Kindergarten</v>
      </c>
      <c r="B47" s="302" t="str">
        <f>'Kalk UHR KiGa Am Rain'!B47</f>
        <v>EG</v>
      </c>
      <c r="C47" s="302" t="str">
        <f>IF('Kalk UHR KiGa Am Rain'!C47="","",'Kalk UHR KiGa Am Rain'!C47)</f>
        <v/>
      </c>
      <c r="D47" s="302" t="str">
        <f>'Kalk UHR KiGa Am Rain'!D47</f>
        <v>Abstellraum 3</v>
      </c>
      <c r="E47" s="229"/>
      <c r="F47" s="195">
        <v>0</v>
      </c>
      <c r="G47" s="195">
        <v>12</v>
      </c>
      <c r="H47" s="186">
        <f t="shared" ref="H47:H52" si="31">+E47*F47+E47*G47</f>
        <v>0</v>
      </c>
      <c r="I47" s="549"/>
      <c r="J47" s="187"/>
      <c r="K47" s="188">
        <f t="shared" si="1"/>
        <v>0</v>
      </c>
      <c r="L47" s="548">
        <f t="shared" si="2"/>
        <v>0</v>
      </c>
      <c r="M47" s="189">
        <f t="shared" ref="M47:M52" si="32">IF(ISERROR(L47/I47),0,L47/I47)</f>
        <v>0</v>
      </c>
      <c r="N47" s="189">
        <f t="shared" ref="N47:N52" si="33">IF(ISERROR(L47/J47),0,L47/J47)</f>
        <v>0</v>
      </c>
      <c r="O47" s="189">
        <f t="shared" ref="O47:O52" si="34">K47*L47</f>
        <v>0</v>
      </c>
    </row>
    <row r="48" spans="1:15" s="57" customFormat="1" ht="29.4" customHeight="1" x14ac:dyDescent="0.3">
      <c r="A48" s="302" t="str">
        <f>'Kalk UHR KiGa Am Rain'!A48</f>
        <v>Kindergarten</v>
      </c>
      <c r="B48" s="302" t="str">
        <f>'Kalk UHR KiGa Am Rain'!B48</f>
        <v>EG</v>
      </c>
      <c r="C48" s="302" t="str">
        <f>IF('Kalk UHR KiGa Am Rain'!C48="","",'Kalk UHR KiGa Am Rain'!C48)</f>
        <v/>
      </c>
      <c r="D48" s="302" t="str">
        <f>'Kalk UHR KiGa Am Rain'!D48</f>
        <v>Gruppenraum 2</v>
      </c>
      <c r="E48" s="229">
        <v>3.2</v>
      </c>
      <c r="F48" s="195">
        <v>0</v>
      </c>
      <c r="G48" s="195">
        <v>12</v>
      </c>
      <c r="H48" s="186">
        <f t="shared" si="31"/>
        <v>38.400000000000006</v>
      </c>
      <c r="I48" s="549"/>
      <c r="J48" s="187"/>
      <c r="K48" s="188">
        <f t="shared" si="1"/>
        <v>0</v>
      </c>
      <c r="L48" s="548">
        <f t="shared" si="2"/>
        <v>0</v>
      </c>
      <c r="M48" s="189">
        <f t="shared" si="32"/>
        <v>0</v>
      </c>
      <c r="N48" s="189">
        <f t="shared" si="33"/>
        <v>0</v>
      </c>
      <c r="O48" s="189">
        <f t="shared" si="34"/>
        <v>0</v>
      </c>
    </row>
    <row r="49" spans="1:15" s="57" customFormat="1" ht="29.4" customHeight="1" x14ac:dyDescent="0.3">
      <c r="A49" s="302" t="str">
        <f>'Kalk UHR KiGa Am Rain'!A49</f>
        <v>Kindergarten</v>
      </c>
      <c r="B49" s="302" t="str">
        <f>'Kalk UHR KiGa Am Rain'!B49</f>
        <v>EG</v>
      </c>
      <c r="C49" s="302" t="str">
        <f>IF('Kalk UHR KiGa Am Rain'!C49="","",'Kalk UHR KiGa Am Rain'!C49)</f>
        <v/>
      </c>
      <c r="D49" s="302" t="str">
        <f>'Kalk UHR KiGa Am Rain'!D49</f>
        <v>Treppe zur Galerie</v>
      </c>
      <c r="E49" s="229"/>
      <c r="F49" s="195">
        <v>0</v>
      </c>
      <c r="G49" s="195">
        <v>12</v>
      </c>
      <c r="H49" s="186">
        <f t="shared" si="31"/>
        <v>0</v>
      </c>
      <c r="I49" s="549"/>
      <c r="J49" s="187"/>
      <c r="K49" s="188">
        <f t="shared" si="1"/>
        <v>0</v>
      </c>
      <c r="L49" s="548">
        <f t="shared" si="2"/>
        <v>0</v>
      </c>
      <c r="M49" s="189">
        <f t="shared" si="32"/>
        <v>0</v>
      </c>
      <c r="N49" s="189">
        <f t="shared" si="33"/>
        <v>0</v>
      </c>
      <c r="O49" s="189">
        <f t="shared" si="34"/>
        <v>0</v>
      </c>
    </row>
    <row r="50" spans="1:15" s="57" customFormat="1" ht="29.4" customHeight="1" x14ac:dyDescent="0.3">
      <c r="A50" s="302" t="str">
        <f>'Kalk UHR KiGa Am Rain'!A50</f>
        <v>Kindergarten</v>
      </c>
      <c r="B50" s="302" t="str">
        <f>'Kalk UHR KiGa Am Rain'!B50</f>
        <v>EG</v>
      </c>
      <c r="C50" s="302" t="str">
        <f>IF('Kalk UHR KiGa Am Rain'!C50="","",'Kalk UHR KiGa Am Rain'!C50)</f>
        <v/>
      </c>
      <c r="D50" s="302" t="str">
        <f>'Kalk UHR KiGa Am Rain'!D50</f>
        <v>Abstellraum 2</v>
      </c>
      <c r="E50" s="229"/>
      <c r="F50" s="195">
        <v>0</v>
      </c>
      <c r="G50" s="195">
        <v>12</v>
      </c>
      <c r="H50" s="186">
        <f t="shared" si="31"/>
        <v>0</v>
      </c>
      <c r="I50" s="549"/>
      <c r="J50" s="187"/>
      <c r="K50" s="188">
        <f t="shared" si="1"/>
        <v>0</v>
      </c>
      <c r="L50" s="548">
        <f t="shared" si="2"/>
        <v>0</v>
      </c>
      <c r="M50" s="189">
        <f t="shared" si="32"/>
        <v>0</v>
      </c>
      <c r="N50" s="189">
        <f t="shared" si="33"/>
        <v>0</v>
      </c>
      <c r="O50" s="189">
        <f t="shared" si="34"/>
        <v>0</v>
      </c>
    </row>
    <row r="51" spans="1:15" s="57" customFormat="1" ht="29.4" customHeight="1" x14ac:dyDescent="0.3">
      <c r="A51" s="302" t="str">
        <f>'Kalk UHR KiGa Am Rain'!A51</f>
        <v>Kindergarten</v>
      </c>
      <c r="B51" s="302" t="str">
        <f>'Kalk UHR KiGa Am Rain'!B51</f>
        <v>EG</v>
      </c>
      <c r="C51" s="302" t="str">
        <f>IF('Kalk UHR KiGa Am Rain'!C51="","",'Kalk UHR KiGa Am Rain'!C51)</f>
        <v/>
      </c>
      <c r="D51" s="302" t="str">
        <f>'Kalk UHR KiGa Am Rain'!D51</f>
        <v>Geräte</v>
      </c>
      <c r="E51" s="229"/>
      <c r="F51" s="195">
        <v>0</v>
      </c>
      <c r="G51" s="195">
        <v>12</v>
      </c>
      <c r="H51" s="186">
        <f t="shared" si="31"/>
        <v>0</v>
      </c>
      <c r="I51" s="549"/>
      <c r="J51" s="187"/>
      <c r="K51" s="188">
        <f t="shared" si="1"/>
        <v>0</v>
      </c>
      <c r="L51" s="548">
        <f t="shared" si="2"/>
        <v>0</v>
      </c>
      <c r="M51" s="189">
        <f t="shared" si="32"/>
        <v>0</v>
      </c>
      <c r="N51" s="189">
        <f t="shared" si="33"/>
        <v>0</v>
      </c>
      <c r="O51" s="189">
        <f t="shared" si="34"/>
        <v>0</v>
      </c>
    </row>
    <row r="52" spans="1:15" s="57" customFormat="1" ht="29.4" customHeight="1" x14ac:dyDescent="0.3">
      <c r="A52" s="302" t="str">
        <f>'Kalk UHR KiGa Am Rain'!A52</f>
        <v>Kindergarten</v>
      </c>
      <c r="B52" s="302" t="str">
        <f>'Kalk UHR KiGa Am Rain'!B52</f>
        <v>EG</v>
      </c>
      <c r="C52" s="302" t="str">
        <f>IF('Kalk UHR KiGa Am Rain'!C52="","",'Kalk UHR KiGa Am Rain'!C52)</f>
        <v/>
      </c>
      <c r="D52" s="302" t="str">
        <f>'Kalk UHR KiGa Am Rain'!D52</f>
        <v>Mehrzweckraum</v>
      </c>
      <c r="E52" s="229">
        <v>0.3</v>
      </c>
      <c r="F52" s="195">
        <v>0</v>
      </c>
      <c r="G52" s="195">
        <v>12</v>
      </c>
      <c r="H52" s="186">
        <f t="shared" si="31"/>
        <v>3.5999999999999996</v>
      </c>
      <c r="I52" s="549"/>
      <c r="J52" s="187"/>
      <c r="K52" s="188">
        <f t="shared" si="1"/>
        <v>0</v>
      </c>
      <c r="L52" s="548">
        <f t="shared" si="2"/>
        <v>0</v>
      </c>
      <c r="M52" s="189">
        <f t="shared" si="32"/>
        <v>0</v>
      </c>
      <c r="N52" s="189">
        <f t="shared" si="33"/>
        <v>0</v>
      </c>
      <c r="O52" s="189">
        <f t="shared" si="34"/>
        <v>0</v>
      </c>
    </row>
    <row r="53" spans="1:15" s="57" customFormat="1" ht="29.4" customHeight="1" x14ac:dyDescent="0.3">
      <c r="A53" s="302" t="str">
        <f>'Kalk UHR KiGa Am Rain'!A53</f>
        <v>Kindergarten</v>
      </c>
      <c r="B53" s="302" t="str">
        <f>'Kalk UHR KiGa Am Rain'!B53</f>
        <v>EG</v>
      </c>
      <c r="C53" s="302" t="str">
        <f>IF('Kalk UHR KiGa Am Rain'!C53="","",'Kalk UHR KiGa Am Rain'!C53)</f>
        <v/>
      </c>
      <c r="D53" s="302" t="str">
        <f>'Kalk UHR KiGa Am Rain'!D53</f>
        <v>Treppe zur Galerie</v>
      </c>
      <c r="E53" s="229"/>
      <c r="F53" s="195">
        <v>0</v>
      </c>
      <c r="G53" s="195">
        <v>12</v>
      </c>
      <c r="H53" s="186">
        <f t="shared" si="0"/>
        <v>0</v>
      </c>
      <c r="I53" s="549"/>
      <c r="J53" s="187"/>
      <c r="K53" s="188">
        <f t="shared" si="1"/>
        <v>0</v>
      </c>
      <c r="L53" s="548">
        <f t="shared" si="2"/>
        <v>0</v>
      </c>
      <c r="M53" s="189">
        <f t="shared" si="3"/>
        <v>0</v>
      </c>
      <c r="N53" s="189">
        <f t="shared" si="4"/>
        <v>0</v>
      </c>
      <c r="O53" s="189">
        <f t="shared" si="5"/>
        <v>0</v>
      </c>
    </row>
    <row r="54" spans="1:15" s="57" customFormat="1" ht="29.4" customHeight="1" x14ac:dyDescent="0.3">
      <c r="A54" s="302" t="str">
        <f>'Kalk UHR KiGa Am Rain'!A54</f>
        <v>Kindergarten</v>
      </c>
      <c r="B54" s="302" t="str">
        <f>'Kalk UHR KiGa Am Rain'!B54</f>
        <v>EG</v>
      </c>
      <c r="C54" s="302" t="str">
        <f>IF('Kalk UHR KiGa Am Rain'!C54="","",'Kalk UHR KiGa Am Rain'!C54)</f>
        <v/>
      </c>
      <c r="D54" s="302" t="str">
        <f>'Kalk UHR KiGa Am Rain'!D54</f>
        <v>Garderobe 1</v>
      </c>
      <c r="E54" s="229">
        <v>0.8</v>
      </c>
      <c r="F54" s="195">
        <v>0</v>
      </c>
      <c r="G54" s="195">
        <v>12</v>
      </c>
      <c r="H54" s="186">
        <f t="shared" si="0"/>
        <v>9.6000000000000014</v>
      </c>
      <c r="I54" s="549"/>
      <c r="J54" s="187"/>
      <c r="K54" s="188">
        <f t="shared" si="1"/>
        <v>0</v>
      </c>
      <c r="L54" s="548">
        <f t="shared" si="2"/>
        <v>0</v>
      </c>
      <c r="M54" s="189">
        <f t="shared" si="3"/>
        <v>0</v>
      </c>
      <c r="N54" s="189">
        <f t="shared" si="4"/>
        <v>0</v>
      </c>
      <c r="O54" s="189">
        <f t="shared" si="5"/>
        <v>0</v>
      </c>
    </row>
    <row r="55" spans="1:15" s="57" customFormat="1" ht="29.4" customHeight="1" x14ac:dyDescent="0.3">
      <c r="A55" s="302" t="str">
        <f>'Kalk UHR KiGa Am Rain'!A55</f>
        <v>Kindergarten</v>
      </c>
      <c r="B55" s="302" t="str">
        <f>'Kalk UHR KiGa Am Rain'!B55</f>
        <v>EG</v>
      </c>
      <c r="C55" s="302" t="str">
        <f>IF('Kalk UHR KiGa Am Rain'!C55="","",'Kalk UHR KiGa Am Rain'!C55)</f>
        <v/>
      </c>
      <c r="D55" s="302" t="str">
        <f>'Kalk UHR KiGa Am Rain'!D55</f>
        <v xml:space="preserve">Intensivraum 1 </v>
      </c>
      <c r="E55" s="229">
        <v>0.9</v>
      </c>
      <c r="F55" s="195">
        <v>0</v>
      </c>
      <c r="G55" s="195">
        <v>12</v>
      </c>
      <c r="H55" s="186">
        <f t="shared" si="0"/>
        <v>10.8</v>
      </c>
      <c r="I55" s="549"/>
      <c r="J55" s="187"/>
      <c r="K55" s="188">
        <f t="shared" si="1"/>
        <v>0</v>
      </c>
      <c r="L55" s="548">
        <f t="shared" si="2"/>
        <v>0</v>
      </c>
      <c r="M55" s="189">
        <f t="shared" si="3"/>
        <v>0</v>
      </c>
      <c r="N55" s="189">
        <f t="shared" si="4"/>
        <v>0</v>
      </c>
      <c r="O55" s="189">
        <f t="shared" si="5"/>
        <v>0</v>
      </c>
    </row>
    <row r="56" spans="1:15" s="57" customFormat="1" ht="29.4" customHeight="1" x14ac:dyDescent="0.3">
      <c r="A56" s="302" t="str">
        <f>'Kalk UHR KiGa Am Rain'!A56</f>
        <v>Kindergarten</v>
      </c>
      <c r="B56" s="302" t="str">
        <f>'Kalk UHR KiGa Am Rain'!B56</f>
        <v>EG</v>
      </c>
      <c r="C56" s="302" t="str">
        <f>IF('Kalk UHR KiGa Am Rain'!C56="","",'Kalk UHR KiGa Am Rain'!C56)</f>
        <v/>
      </c>
      <c r="D56" s="302" t="str">
        <f>'Kalk UHR KiGa Am Rain'!D56</f>
        <v>Gruppenraum 1</v>
      </c>
      <c r="E56" s="229"/>
      <c r="F56" s="195">
        <v>0</v>
      </c>
      <c r="G56" s="195">
        <v>12</v>
      </c>
      <c r="H56" s="186">
        <f t="shared" si="0"/>
        <v>0</v>
      </c>
      <c r="I56" s="549"/>
      <c r="J56" s="187"/>
      <c r="K56" s="188">
        <f t="shared" si="1"/>
        <v>0</v>
      </c>
      <c r="L56" s="548">
        <f t="shared" si="2"/>
        <v>0</v>
      </c>
      <c r="M56" s="189">
        <f t="shared" si="3"/>
        <v>0</v>
      </c>
      <c r="N56" s="189">
        <f t="shared" si="4"/>
        <v>0</v>
      </c>
      <c r="O56" s="189">
        <f t="shared" si="5"/>
        <v>0</v>
      </c>
    </row>
    <row r="57" spans="1:15" s="57" customFormat="1" ht="29.4" customHeight="1" x14ac:dyDescent="0.3">
      <c r="A57" s="302" t="str">
        <f>'Kalk UHR KiGa Am Rain'!A57</f>
        <v>Kindergarten</v>
      </c>
      <c r="B57" s="302" t="str">
        <f>'Kalk UHR KiGa Am Rain'!B57</f>
        <v>EG</v>
      </c>
      <c r="C57" s="302" t="str">
        <f>IF('Kalk UHR KiGa Am Rain'!C57="","",'Kalk UHR KiGa Am Rain'!C57)</f>
        <v/>
      </c>
      <c r="D57" s="302" t="str">
        <f>'Kalk UHR KiGa Am Rain'!D57</f>
        <v>Treppe zur Galerie</v>
      </c>
      <c r="E57" s="229"/>
      <c r="F57" s="195">
        <v>0</v>
      </c>
      <c r="G57" s="195">
        <v>12</v>
      </c>
      <c r="H57" s="186">
        <f t="shared" si="0"/>
        <v>0</v>
      </c>
      <c r="I57" s="549"/>
      <c r="J57" s="187"/>
      <c r="K57" s="188">
        <f t="shared" si="1"/>
        <v>0</v>
      </c>
      <c r="L57" s="548">
        <f t="shared" si="2"/>
        <v>0</v>
      </c>
      <c r="M57" s="189">
        <f t="shared" si="3"/>
        <v>0</v>
      </c>
      <c r="N57" s="189">
        <f t="shared" si="4"/>
        <v>0</v>
      </c>
      <c r="O57" s="189">
        <f t="shared" si="5"/>
        <v>0</v>
      </c>
    </row>
    <row r="58" spans="1:15" s="57" customFormat="1" ht="29.4" customHeight="1" x14ac:dyDescent="0.3">
      <c r="A58" s="302" t="str">
        <f>'Kalk UHR KiGa Am Rain'!A58</f>
        <v>Kindergarten</v>
      </c>
      <c r="B58" s="302" t="str">
        <f>'Kalk UHR KiGa Am Rain'!B58</f>
        <v>EG</v>
      </c>
      <c r="C58" s="302" t="str">
        <f>IF('Kalk UHR KiGa Am Rain'!C58="","",'Kalk UHR KiGa Am Rain'!C58)</f>
        <v/>
      </c>
      <c r="D58" s="302" t="str">
        <f>'Kalk UHR KiGa Am Rain'!D58</f>
        <v>Abstellraum 1</v>
      </c>
      <c r="E58" s="229"/>
      <c r="F58" s="195">
        <v>0</v>
      </c>
      <c r="G58" s="195">
        <v>12</v>
      </c>
      <c r="H58" s="186">
        <f t="shared" si="0"/>
        <v>0</v>
      </c>
      <c r="I58" s="549"/>
      <c r="J58" s="187"/>
      <c r="K58" s="188">
        <f t="shared" si="1"/>
        <v>0</v>
      </c>
      <c r="L58" s="548">
        <f t="shared" si="2"/>
        <v>0</v>
      </c>
      <c r="M58" s="189">
        <f t="shared" si="3"/>
        <v>0</v>
      </c>
      <c r="N58" s="189">
        <f t="shared" si="4"/>
        <v>0</v>
      </c>
      <c r="O58" s="189">
        <f t="shared" si="5"/>
        <v>0</v>
      </c>
    </row>
    <row r="59" spans="1:15" s="57" customFormat="1" ht="29.4" customHeight="1" x14ac:dyDescent="0.3">
      <c r="A59" s="302" t="str">
        <f>'Kalk UHR KiGa Am Rain'!A59</f>
        <v>Kindergarten</v>
      </c>
      <c r="B59" s="302" t="str">
        <f>'Kalk UHR KiGa Am Rain'!B59</f>
        <v>EG</v>
      </c>
      <c r="C59" s="302" t="str">
        <f>IF('Kalk UHR KiGa Am Rain'!C59="","",'Kalk UHR KiGa Am Rain'!C59)</f>
        <v/>
      </c>
      <c r="D59" s="302" t="str">
        <f>'Kalk UHR KiGa Am Rain'!D59</f>
        <v>WC Behinderte + Dusche</v>
      </c>
      <c r="E59" s="229"/>
      <c r="F59" s="195">
        <v>0</v>
      </c>
      <c r="G59" s="195">
        <v>12</v>
      </c>
      <c r="H59" s="186">
        <f t="shared" si="0"/>
        <v>0</v>
      </c>
      <c r="I59" s="549"/>
      <c r="J59" s="187"/>
      <c r="K59" s="188">
        <f t="shared" si="1"/>
        <v>0</v>
      </c>
      <c r="L59" s="548">
        <f t="shared" si="2"/>
        <v>0</v>
      </c>
      <c r="M59" s="189">
        <f t="shared" si="3"/>
        <v>0</v>
      </c>
      <c r="N59" s="189">
        <f t="shared" si="4"/>
        <v>0</v>
      </c>
      <c r="O59" s="189">
        <f t="shared" si="5"/>
        <v>0</v>
      </c>
    </row>
    <row r="60" spans="1:15" s="57" customFormat="1" ht="29.4" customHeight="1" x14ac:dyDescent="0.3">
      <c r="A60" s="302" t="str">
        <f>'Kalk UHR KiGa Am Rain'!A60</f>
        <v>Kindergarten</v>
      </c>
      <c r="B60" s="302" t="str">
        <f>'Kalk UHR KiGa Am Rain'!B60</f>
        <v>EG</v>
      </c>
      <c r="C60" s="302" t="str">
        <f>IF('Kalk UHR KiGa Am Rain'!C60="","",'Kalk UHR KiGa Am Rain'!C60)</f>
        <v/>
      </c>
      <c r="D60" s="302" t="str">
        <f>'Kalk UHR KiGa Am Rain'!D60</f>
        <v>Waschraum 1</v>
      </c>
      <c r="E60" s="229"/>
      <c r="F60" s="195">
        <v>0</v>
      </c>
      <c r="G60" s="195">
        <v>12</v>
      </c>
      <c r="H60" s="186">
        <f t="shared" si="0"/>
        <v>0</v>
      </c>
      <c r="I60" s="549"/>
      <c r="J60" s="187"/>
      <c r="K60" s="188">
        <f t="shared" si="1"/>
        <v>0</v>
      </c>
      <c r="L60" s="548">
        <f t="shared" si="2"/>
        <v>0</v>
      </c>
      <c r="M60" s="189">
        <f t="shared" si="3"/>
        <v>0</v>
      </c>
      <c r="N60" s="189">
        <f t="shared" si="4"/>
        <v>0</v>
      </c>
      <c r="O60" s="189">
        <f t="shared" si="5"/>
        <v>0</v>
      </c>
    </row>
    <row r="61" spans="1:15" s="57" customFormat="1" ht="29.4" customHeight="1" x14ac:dyDescent="0.3">
      <c r="A61" s="302" t="str">
        <f>'Kalk UHR KiGa Am Rain'!A61</f>
        <v>Kindergarten</v>
      </c>
      <c r="B61" s="302" t="str">
        <f>'Kalk UHR KiGa Am Rain'!B61</f>
        <v>EG</v>
      </c>
      <c r="C61" s="302" t="str">
        <f>IF('Kalk UHR KiGa Am Rain'!C61="","",'Kalk UHR KiGa Am Rain'!C61)</f>
        <v/>
      </c>
      <c r="D61" s="302" t="str">
        <f>'Kalk UHR KiGa Am Rain'!D61</f>
        <v>Büro Leitung</v>
      </c>
      <c r="E61" s="229">
        <v>1.4</v>
      </c>
      <c r="F61" s="195">
        <v>0</v>
      </c>
      <c r="G61" s="195">
        <v>12</v>
      </c>
      <c r="H61" s="186">
        <f t="shared" si="0"/>
        <v>16.799999999999997</v>
      </c>
      <c r="I61" s="549"/>
      <c r="J61" s="187"/>
      <c r="K61" s="188">
        <f t="shared" si="1"/>
        <v>0</v>
      </c>
      <c r="L61" s="548">
        <f t="shared" si="2"/>
        <v>0</v>
      </c>
      <c r="M61" s="189">
        <f t="shared" si="3"/>
        <v>0</v>
      </c>
      <c r="N61" s="189">
        <f t="shared" si="4"/>
        <v>0</v>
      </c>
      <c r="O61" s="189">
        <f t="shared" si="5"/>
        <v>0</v>
      </c>
    </row>
    <row r="62" spans="1:15" s="57" customFormat="1" ht="29.4" customHeight="1" x14ac:dyDescent="0.3">
      <c r="A62" s="302" t="str">
        <f>'Kalk UHR KiGa Am Rain'!A62</f>
        <v>Kindergarten</v>
      </c>
      <c r="B62" s="302" t="str">
        <f>'Kalk UHR KiGa Am Rain'!B62</f>
        <v>EG</v>
      </c>
      <c r="C62" s="302" t="str">
        <f>IF('Kalk UHR KiGa Am Rain'!C62="","",'Kalk UHR KiGa Am Rain'!C62)</f>
        <v/>
      </c>
      <c r="D62" s="302" t="str">
        <f>'Kalk UHR KiGa Am Rain'!D62</f>
        <v>Flur Personal</v>
      </c>
      <c r="E62" s="229"/>
      <c r="F62" s="195">
        <v>0</v>
      </c>
      <c r="G62" s="195">
        <v>12</v>
      </c>
      <c r="H62" s="186">
        <f t="shared" si="0"/>
        <v>0</v>
      </c>
      <c r="I62" s="549"/>
      <c r="J62" s="187"/>
      <c r="K62" s="188">
        <f t="shared" si="1"/>
        <v>0</v>
      </c>
      <c r="L62" s="548">
        <f t="shared" si="2"/>
        <v>0</v>
      </c>
      <c r="M62" s="189">
        <f t="shared" si="3"/>
        <v>0</v>
      </c>
      <c r="N62" s="189">
        <f t="shared" si="4"/>
        <v>0</v>
      </c>
      <c r="O62" s="189">
        <f t="shared" si="5"/>
        <v>0</v>
      </c>
    </row>
    <row r="63" spans="1:15" s="57" customFormat="1" ht="29.4" customHeight="1" x14ac:dyDescent="0.3">
      <c r="A63" s="302" t="str">
        <f>'Kalk UHR KiGa Am Rain'!A63</f>
        <v>Kindergarten</v>
      </c>
      <c r="B63" s="302" t="str">
        <f>'Kalk UHR KiGa Am Rain'!B63</f>
        <v>EG</v>
      </c>
      <c r="C63" s="302" t="str">
        <f>IF('Kalk UHR KiGa Am Rain'!C63="","",'Kalk UHR KiGa Am Rain'!C63)</f>
        <v/>
      </c>
      <c r="D63" s="302" t="str">
        <f>'Kalk UHR KiGa Am Rain'!D63</f>
        <v>Personalaufenthalt</v>
      </c>
      <c r="E63" s="229">
        <v>0.3</v>
      </c>
      <c r="F63" s="195">
        <v>0</v>
      </c>
      <c r="G63" s="195">
        <v>12</v>
      </c>
      <c r="H63" s="186">
        <f t="shared" si="0"/>
        <v>3.5999999999999996</v>
      </c>
      <c r="I63" s="549"/>
      <c r="J63" s="187"/>
      <c r="K63" s="188">
        <f t="shared" si="1"/>
        <v>0</v>
      </c>
      <c r="L63" s="548">
        <f t="shared" si="2"/>
        <v>0</v>
      </c>
      <c r="M63" s="189">
        <f t="shared" si="3"/>
        <v>0</v>
      </c>
      <c r="N63" s="189">
        <f t="shared" si="4"/>
        <v>0</v>
      </c>
      <c r="O63" s="189">
        <f t="shared" si="5"/>
        <v>0</v>
      </c>
    </row>
    <row r="64" spans="1:15" s="57" customFormat="1" ht="29.4" customHeight="1" x14ac:dyDescent="0.3">
      <c r="A64" s="302" t="str">
        <f>'Kalk UHR KiGa Am Rain'!A64</f>
        <v>Kindergarten</v>
      </c>
      <c r="B64" s="302" t="str">
        <f>'Kalk UHR KiGa Am Rain'!B64</f>
        <v>EG</v>
      </c>
      <c r="C64" s="302" t="str">
        <f>IF('Kalk UHR KiGa Am Rain'!C64="","",'Kalk UHR KiGa Am Rain'!C64)</f>
        <v/>
      </c>
      <c r="D64" s="302" t="str">
        <f>'Kalk UHR KiGa Am Rain'!D64</f>
        <v>Garderobe</v>
      </c>
      <c r="E64" s="229"/>
      <c r="F64" s="195">
        <v>0</v>
      </c>
      <c r="G64" s="195">
        <v>12</v>
      </c>
      <c r="H64" s="186">
        <f t="shared" si="0"/>
        <v>0</v>
      </c>
      <c r="I64" s="549"/>
      <c r="J64" s="187"/>
      <c r="K64" s="188">
        <f t="shared" si="1"/>
        <v>0</v>
      </c>
      <c r="L64" s="548">
        <f t="shared" si="2"/>
        <v>0</v>
      </c>
      <c r="M64" s="189">
        <f t="shared" si="3"/>
        <v>0</v>
      </c>
      <c r="N64" s="189">
        <f t="shared" si="4"/>
        <v>0</v>
      </c>
      <c r="O64" s="189">
        <f t="shared" si="5"/>
        <v>0</v>
      </c>
    </row>
    <row r="65" spans="1:15" s="57" customFormat="1" ht="29.4" customHeight="1" x14ac:dyDescent="0.3">
      <c r="A65" s="302" t="str">
        <f>'Kalk UHR KiGa Am Rain'!A65</f>
        <v>Kindergarten</v>
      </c>
      <c r="B65" s="302" t="str">
        <f>'Kalk UHR KiGa Am Rain'!B65</f>
        <v>EG</v>
      </c>
      <c r="C65" s="302" t="str">
        <f>IF('Kalk UHR KiGa Am Rain'!C65="","",'Kalk UHR KiGa Am Rain'!C65)</f>
        <v/>
      </c>
      <c r="D65" s="302" t="str">
        <f>'Kalk UHR KiGa Am Rain'!D65</f>
        <v>Küche</v>
      </c>
      <c r="E65" s="229"/>
      <c r="F65" s="195">
        <v>0</v>
      </c>
      <c r="G65" s="195">
        <v>12</v>
      </c>
      <c r="H65" s="186">
        <f t="shared" si="0"/>
        <v>0</v>
      </c>
      <c r="I65" s="549"/>
      <c r="J65" s="187"/>
      <c r="K65" s="188">
        <f t="shared" si="1"/>
        <v>0</v>
      </c>
      <c r="L65" s="548">
        <f t="shared" si="2"/>
        <v>0</v>
      </c>
      <c r="M65" s="189">
        <f t="shared" si="3"/>
        <v>0</v>
      </c>
      <c r="N65" s="189">
        <f t="shared" si="4"/>
        <v>0</v>
      </c>
      <c r="O65" s="189">
        <f t="shared" si="5"/>
        <v>0</v>
      </c>
    </row>
    <row r="66" spans="1:15" s="57" customFormat="1" ht="29.4" customHeight="1" x14ac:dyDescent="0.3">
      <c r="A66" s="302" t="str">
        <f>'Kalk UHR KiGa Am Rain'!A66</f>
        <v>Kindergarten</v>
      </c>
      <c r="B66" s="302" t="str">
        <f>'Kalk UHR KiGa Am Rain'!B66</f>
        <v>EG</v>
      </c>
      <c r="C66" s="302" t="str">
        <f>IF('Kalk UHR KiGa Am Rain'!C66="","",'Kalk UHR KiGa Am Rain'!C66)</f>
        <v/>
      </c>
      <c r="D66" s="302" t="str">
        <f>'Kalk UHR KiGa Am Rain'!D66</f>
        <v>Vorräte</v>
      </c>
      <c r="E66" s="229"/>
      <c r="F66" s="195">
        <v>0</v>
      </c>
      <c r="G66" s="195">
        <v>12</v>
      </c>
      <c r="H66" s="186">
        <f t="shared" ref="H66:H72" si="35">+E66*F66+E66*G66</f>
        <v>0</v>
      </c>
      <c r="I66" s="549"/>
      <c r="J66" s="187"/>
      <c r="K66" s="188">
        <f t="shared" si="1"/>
        <v>0</v>
      </c>
      <c r="L66" s="548">
        <f t="shared" si="2"/>
        <v>0</v>
      </c>
      <c r="M66" s="189">
        <f t="shared" ref="M66:M72" si="36">IF(ISERROR(L66/I66),0,L66/I66)</f>
        <v>0</v>
      </c>
      <c r="N66" s="189">
        <f t="shared" ref="N66:N72" si="37">IF(ISERROR(L66/J66),0,L66/J66)</f>
        <v>0</v>
      </c>
      <c r="O66" s="189">
        <f t="shared" ref="O66:O72" si="38">K66*L66</f>
        <v>0</v>
      </c>
    </row>
    <row r="67" spans="1:15" s="57" customFormat="1" ht="29.4" customHeight="1" x14ac:dyDescent="0.3">
      <c r="A67" s="302" t="str">
        <f>'Kalk UHR KiGa Am Rain'!A67</f>
        <v>Kindergarten</v>
      </c>
      <c r="B67" s="302" t="str">
        <f>'Kalk UHR KiGa Am Rain'!B67</f>
        <v>EG</v>
      </c>
      <c r="C67" s="302" t="str">
        <f>IF('Kalk UHR KiGa Am Rain'!C67="","",'Kalk UHR KiGa Am Rain'!C67)</f>
        <v/>
      </c>
      <c r="D67" s="302" t="str">
        <f>'Kalk UHR KiGa Am Rain'!D67</f>
        <v>WC Personal</v>
      </c>
      <c r="E67" s="229"/>
      <c r="F67" s="195">
        <v>0</v>
      </c>
      <c r="G67" s="195">
        <v>12</v>
      </c>
      <c r="H67" s="186">
        <f t="shared" si="35"/>
        <v>0</v>
      </c>
      <c r="I67" s="549"/>
      <c r="J67" s="187"/>
      <c r="K67" s="188">
        <f t="shared" si="1"/>
        <v>0</v>
      </c>
      <c r="L67" s="548">
        <f t="shared" si="2"/>
        <v>0</v>
      </c>
      <c r="M67" s="189">
        <f t="shared" si="36"/>
        <v>0</v>
      </c>
      <c r="N67" s="189">
        <f t="shared" si="37"/>
        <v>0</v>
      </c>
      <c r="O67" s="189">
        <f t="shared" si="38"/>
        <v>0</v>
      </c>
    </row>
    <row r="68" spans="1:15" s="57" customFormat="1" ht="29.4" customHeight="1" x14ac:dyDescent="0.3">
      <c r="A68" s="302" t="str">
        <f>'Kalk UHR KiGa Am Rain'!A68</f>
        <v>Kindergarten</v>
      </c>
      <c r="B68" s="302" t="str">
        <f>'Kalk UHR KiGa Am Rain'!B68</f>
        <v>EG</v>
      </c>
      <c r="C68" s="302" t="str">
        <f>IF('Kalk UHR KiGa Am Rain'!C68="","",'Kalk UHR KiGa Am Rain'!C68)</f>
        <v/>
      </c>
      <c r="D68" s="302" t="str">
        <f>'Kalk UHR KiGa Am Rain'!D68</f>
        <v>Müllraum</v>
      </c>
      <c r="E68" s="229"/>
      <c r="F68" s="195">
        <v>0</v>
      </c>
      <c r="G68" s="195">
        <v>12</v>
      </c>
      <c r="H68" s="186">
        <f t="shared" si="35"/>
        <v>0</v>
      </c>
      <c r="I68" s="549"/>
      <c r="J68" s="187"/>
      <c r="K68" s="188">
        <f t="shared" si="1"/>
        <v>0</v>
      </c>
      <c r="L68" s="548">
        <f t="shared" si="2"/>
        <v>0</v>
      </c>
      <c r="M68" s="189">
        <f t="shared" si="36"/>
        <v>0</v>
      </c>
      <c r="N68" s="189">
        <f t="shared" si="37"/>
        <v>0</v>
      </c>
      <c r="O68" s="189">
        <f t="shared" si="38"/>
        <v>0</v>
      </c>
    </row>
    <row r="69" spans="1:15" s="57" customFormat="1" ht="29.4" customHeight="1" x14ac:dyDescent="0.3">
      <c r="A69" s="302" t="str">
        <f>'Kalk UHR KiGa Am Rain'!A69</f>
        <v>Kindergarten</v>
      </c>
      <c r="B69" s="302" t="str">
        <f>'Kalk UHR KiGa Am Rain'!B69</f>
        <v>EG</v>
      </c>
      <c r="C69" s="302" t="str">
        <f>IF('Kalk UHR KiGa Am Rain'!C69="","",'Kalk UHR KiGa Am Rain'!C69)</f>
        <v/>
      </c>
      <c r="D69" s="302" t="str">
        <f>'Kalk UHR KiGa Am Rain'!D69</f>
        <v>Putzraum</v>
      </c>
      <c r="E69" s="229"/>
      <c r="F69" s="195">
        <v>0</v>
      </c>
      <c r="G69" s="195">
        <v>12</v>
      </c>
      <c r="H69" s="186">
        <f t="shared" ref="H69" si="39">+E69*F69+E69*G69</f>
        <v>0</v>
      </c>
      <c r="I69" s="549"/>
      <c r="J69" s="187"/>
      <c r="K69" s="188">
        <f t="shared" ref="K69" si="40">IFERROR((F69*E69/I69),0)+IFERROR((G69*E69/J69),0)</f>
        <v>0</v>
      </c>
      <c r="L69" s="548">
        <f t="shared" si="2"/>
        <v>0</v>
      </c>
      <c r="M69" s="189">
        <f t="shared" ref="M69" si="41">IF(ISERROR(L69/I69),0,L69/I69)</f>
        <v>0</v>
      </c>
      <c r="N69" s="189">
        <f t="shared" ref="N69" si="42">IF(ISERROR(L69/J69),0,L69/J69)</f>
        <v>0</v>
      </c>
      <c r="O69" s="189">
        <f t="shared" ref="O69" si="43">K69*L69</f>
        <v>0</v>
      </c>
    </row>
    <row r="70" spans="1:15" s="57" customFormat="1" ht="29.4" customHeight="1" x14ac:dyDescent="0.3">
      <c r="A70" s="302" t="str">
        <f>'Kalk UHR KiGa Am Rain'!A70</f>
        <v>Kindergarten</v>
      </c>
      <c r="B70" s="302" t="str">
        <f>'Kalk UHR KiGa Am Rain'!B70</f>
        <v>EG</v>
      </c>
      <c r="C70" s="302" t="str">
        <f>IF('Kalk UHR KiGa Am Rain'!C70="","",'Kalk UHR KiGa Am Rain'!C70)</f>
        <v/>
      </c>
      <c r="D70" s="419" t="str">
        <f>'Kalk UHR KiGa Am Rain'!D70</f>
        <v>Fahrrad Kinderwagen Abstellraum</v>
      </c>
      <c r="E70" s="229"/>
      <c r="F70" s="195">
        <v>0</v>
      </c>
      <c r="G70" s="195">
        <v>12</v>
      </c>
      <c r="H70" s="186">
        <f t="shared" si="35"/>
        <v>0</v>
      </c>
      <c r="I70" s="549"/>
      <c r="J70" s="187"/>
      <c r="K70" s="188">
        <f t="shared" si="1"/>
        <v>0</v>
      </c>
      <c r="L70" s="548">
        <f t="shared" si="2"/>
        <v>0</v>
      </c>
      <c r="M70" s="189">
        <f t="shared" si="36"/>
        <v>0</v>
      </c>
      <c r="N70" s="189">
        <f t="shared" si="37"/>
        <v>0</v>
      </c>
      <c r="O70" s="189">
        <f t="shared" si="38"/>
        <v>0</v>
      </c>
    </row>
    <row r="71" spans="1:15" s="57" customFormat="1" ht="29.4" customHeight="1" x14ac:dyDescent="0.3">
      <c r="A71" s="302" t="str">
        <f>'Kalk UHR KiGa Am Rain'!A71</f>
        <v>Kindergarten</v>
      </c>
      <c r="B71" s="302" t="str">
        <f>'Kalk UHR KiGa Am Rain'!B71</f>
        <v>EG</v>
      </c>
      <c r="C71" s="302" t="str">
        <f>IF('Kalk UHR KiGa Am Rain'!C71="","",'Kalk UHR KiGa Am Rain'!C71)</f>
        <v/>
      </c>
      <c r="D71" s="302" t="str">
        <f>'Kalk UHR KiGa Am Rain'!D71</f>
        <v>Gerätehaus außen</v>
      </c>
      <c r="E71" s="229"/>
      <c r="F71" s="195">
        <v>0</v>
      </c>
      <c r="G71" s="195">
        <v>12</v>
      </c>
      <c r="H71" s="186">
        <f t="shared" si="35"/>
        <v>0</v>
      </c>
      <c r="I71" s="549"/>
      <c r="J71" s="187"/>
      <c r="K71" s="188">
        <f t="shared" si="1"/>
        <v>0</v>
      </c>
      <c r="L71" s="548">
        <f t="shared" si="2"/>
        <v>0</v>
      </c>
      <c r="M71" s="189">
        <f t="shared" si="36"/>
        <v>0</v>
      </c>
      <c r="N71" s="189">
        <f t="shared" si="37"/>
        <v>0</v>
      </c>
      <c r="O71" s="189">
        <f t="shared" si="38"/>
        <v>0</v>
      </c>
    </row>
    <row r="72" spans="1:15" s="57" customFormat="1" ht="29.4" customHeight="1" x14ac:dyDescent="0.3">
      <c r="A72" s="302" t="str">
        <f>'Kalk UHR KiGa Am Rain'!A72</f>
        <v>Kindergarten</v>
      </c>
      <c r="B72" s="302" t="str">
        <f>'Kalk UHR KiGa Am Rain'!B72</f>
        <v>OG</v>
      </c>
      <c r="C72" s="302" t="str">
        <f>IF('Kalk UHR KiGa Am Rain'!C72="","",'Kalk UHR KiGa Am Rain'!C72)</f>
        <v/>
      </c>
      <c r="D72" s="302" t="str">
        <f>'Kalk UHR KiGa Am Rain'!D72</f>
        <v>Speicher</v>
      </c>
      <c r="E72" s="229"/>
      <c r="F72" s="195">
        <v>0</v>
      </c>
      <c r="G72" s="195">
        <v>12</v>
      </c>
      <c r="H72" s="186">
        <f t="shared" si="35"/>
        <v>0</v>
      </c>
      <c r="I72" s="549"/>
      <c r="J72" s="187"/>
      <c r="K72" s="188">
        <f t="shared" ref="K72" si="44">IFERROR((F72*E72/I72),0)+IFERROR((G72*E72/J72),0)</f>
        <v>0</v>
      </c>
      <c r="L72" s="548">
        <f t="shared" si="2"/>
        <v>0</v>
      </c>
      <c r="M72" s="189">
        <f t="shared" si="36"/>
        <v>0</v>
      </c>
      <c r="N72" s="189">
        <f t="shared" si="37"/>
        <v>0</v>
      </c>
      <c r="O72" s="189">
        <f t="shared" si="38"/>
        <v>0</v>
      </c>
    </row>
    <row r="73" spans="1:15" s="57" customFormat="1" ht="29.4" customHeight="1" x14ac:dyDescent="0.3">
      <c r="A73" s="302" t="str">
        <f>'Kalk UHR KiGa Am Rain'!A73</f>
        <v>Kindergarten</v>
      </c>
      <c r="B73" s="302" t="str">
        <f>'Kalk UHR KiGa Am Rain'!B73</f>
        <v>OG</v>
      </c>
      <c r="C73" s="302" t="str">
        <f>IF('Kalk UHR KiGa Am Rain'!C73="","",'Kalk UHR KiGa Am Rain'!C73)</f>
        <v/>
      </c>
      <c r="D73" s="302" t="str">
        <f>'Kalk UHR KiGa Am Rain'!D73</f>
        <v>Galerie 1</v>
      </c>
      <c r="E73" s="229">
        <v>0.5</v>
      </c>
      <c r="F73" s="195">
        <v>0</v>
      </c>
      <c r="G73" s="195">
        <v>12</v>
      </c>
      <c r="H73" s="186">
        <f t="shared" si="0"/>
        <v>6</v>
      </c>
      <c r="I73" s="549"/>
      <c r="J73" s="187"/>
      <c r="K73" s="188">
        <f t="shared" si="1"/>
        <v>0</v>
      </c>
      <c r="L73" s="548">
        <f t="shared" si="2"/>
        <v>0</v>
      </c>
      <c r="M73" s="189">
        <f t="shared" si="3"/>
        <v>0</v>
      </c>
      <c r="N73" s="189">
        <f t="shared" si="4"/>
        <v>0</v>
      </c>
      <c r="O73" s="189">
        <f t="shared" si="5"/>
        <v>0</v>
      </c>
    </row>
    <row r="74" spans="1:15" s="57" customFormat="1" ht="29.4" customHeight="1" x14ac:dyDescent="0.3">
      <c r="A74" s="302" t="str">
        <f>'Kalk UHR KiGa Am Rain'!A74</f>
        <v>Kindergarten</v>
      </c>
      <c r="B74" s="302" t="str">
        <f>'Kalk UHR KiGa Am Rain'!B74</f>
        <v>OG</v>
      </c>
      <c r="C74" s="302" t="str">
        <f>IF('Kalk UHR KiGa Am Rain'!C74="","",'Kalk UHR KiGa Am Rain'!C74)</f>
        <v/>
      </c>
      <c r="D74" s="302" t="str">
        <f>'Kalk UHR KiGa Am Rain'!D74</f>
        <v>Schlafraum</v>
      </c>
      <c r="E74" s="229">
        <v>7.5</v>
      </c>
      <c r="F74" s="195">
        <v>0</v>
      </c>
      <c r="G74" s="195">
        <v>12</v>
      </c>
      <c r="H74" s="186">
        <f t="shared" si="0"/>
        <v>90</v>
      </c>
      <c r="I74" s="549"/>
      <c r="J74" s="187"/>
      <c r="K74" s="188">
        <f t="shared" si="1"/>
        <v>0</v>
      </c>
      <c r="L74" s="548">
        <f t="shared" si="2"/>
        <v>0</v>
      </c>
      <c r="M74" s="189">
        <f t="shared" si="3"/>
        <v>0</v>
      </c>
      <c r="N74" s="189">
        <f t="shared" si="4"/>
        <v>0</v>
      </c>
      <c r="O74" s="189">
        <f t="shared" si="5"/>
        <v>0</v>
      </c>
    </row>
    <row r="75" spans="1:15" s="57" customFormat="1" ht="29.4" customHeight="1" x14ac:dyDescent="0.3">
      <c r="A75" s="302" t="str">
        <f>'Kalk UHR KiGa Am Rain'!A75</f>
        <v>Kindergarten</v>
      </c>
      <c r="B75" s="302" t="str">
        <f>'Kalk UHR KiGa Am Rain'!B75</f>
        <v>OG</v>
      </c>
      <c r="C75" s="302" t="str">
        <f>IF('Kalk UHR KiGa Am Rain'!C75="","",'Kalk UHR KiGa Am Rain'!C75)</f>
        <v/>
      </c>
      <c r="D75" s="302" t="str">
        <f>'Kalk UHR KiGa Am Rain'!D75</f>
        <v>Galerie 2</v>
      </c>
      <c r="E75" s="229">
        <v>0.5</v>
      </c>
      <c r="F75" s="195">
        <v>0</v>
      </c>
      <c r="G75" s="195">
        <v>12</v>
      </c>
      <c r="H75" s="186">
        <f t="shared" si="0"/>
        <v>6</v>
      </c>
      <c r="I75" s="549"/>
      <c r="J75" s="187"/>
      <c r="K75" s="188">
        <f t="shared" si="1"/>
        <v>0</v>
      </c>
      <c r="L75" s="548">
        <f t="shared" si="2"/>
        <v>0</v>
      </c>
      <c r="M75" s="189">
        <f t="shared" si="3"/>
        <v>0</v>
      </c>
      <c r="N75" s="189">
        <f t="shared" si="4"/>
        <v>0</v>
      </c>
      <c r="O75" s="189">
        <f t="shared" si="5"/>
        <v>0</v>
      </c>
    </row>
    <row r="76" spans="1:15" s="57" customFormat="1" ht="29.4" customHeight="1" x14ac:dyDescent="0.3">
      <c r="A76" s="302" t="str">
        <f>'Kalk UHR KiGa Am Rain'!A76</f>
        <v>Kindergarten</v>
      </c>
      <c r="B76" s="302" t="str">
        <f>'Kalk UHR KiGa Am Rain'!B76</f>
        <v>OG</v>
      </c>
      <c r="C76" s="302" t="str">
        <f>IF('Kalk UHR KiGa Am Rain'!C76="","",'Kalk UHR KiGa Am Rain'!C76)</f>
        <v/>
      </c>
      <c r="D76" s="302" t="str">
        <f>'Kalk UHR KiGa Am Rain'!D76</f>
        <v>Galerie 3</v>
      </c>
      <c r="E76" s="229">
        <v>0.5</v>
      </c>
      <c r="F76" s="195">
        <v>0</v>
      </c>
      <c r="G76" s="195">
        <v>12</v>
      </c>
      <c r="H76" s="186">
        <f t="shared" si="0"/>
        <v>6</v>
      </c>
      <c r="I76" s="549"/>
      <c r="J76" s="187"/>
      <c r="K76" s="188">
        <f t="shared" si="1"/>
        <v>0</v>
      </c>
      <c r="L76" s="548">
        <f t="shared" si="2"/>
        <v>0</v>
      </c>
      <c r="M76" s="189">
        <f t="shared" si="3"/>
        <v>0</v>
      </c>
      <c r="N76" s="189">
        <f t="shared" si="4"/>
        <v>0</v>
      </c>
      <c r="O76" s="189">
        <f t="shared" si="5"/>
        <v>0</v>
      </c>
    </row>
    <row r="77" spans="1:15" ht="22.5" customHeight="1" x14ac:dyDescent="0.2">
      <c r="A77" s="190"/>
      <c r="B77" s="190"/>
      <c r="C77" s="191"/>
      <c r="D77" s="191"/>
      <c r="E77" s="55">
        <f>SUM(E8:E76)</f>
        <v>44.399999999999991</v>
      </c>
      <c r="F77" s="55"/>
      <c r="G77" s="55"/>
      <c r="H77" s="55">
        <f>SUM(H8:H76)</f>
        <v>532.80000000000018</v>
      </c>
      <c r="I77" s="55"/>
      <c r="J77" s="55"/>
      <c r="K77" s="192">
        <f>SUM(K8:K76)</f>
        <v>0</v>
      </c>
      <c r="L77" s="193"/>
      <c r="M77" s="193"/>
      <c r="N77" s="193"/>
      <c r="O77" s="194">
        <f>SUM(O8:O76)</f>
        <v>0</v>
      </c>
    </row>
    <row r="78" spans="1:15" x14ac:dyDescent="0.2">
      <c r="F78" s="58"/>
      <c r="G78" s="58"/>
      <c r="I78" s="58"/>
    </row>
  </sheetData>
  <sheetProtection selectLockedCells="1"/>
  <autoFilter ref="A7:O77" xr:uid="{68A51349-FB9F-4417-AE23-484D6E3A8204}"/>
  <mergeCells count="6">
    <mergeCell ref="A1:O1"/>
    <mergeCell ref="N2:O2"/>
    <mergeCell ref="F6:G6"/>
    <mergeCell ref="I6:J6"/>
    <mergeCell ref="M6:N6"/>
    <mergeCell ref="F2:K2"/>
  </mergeCells>
  <printOptions horizontalCentered="1"/>
  <pageMargins left="0.19685039370078741" right="0.19685039370078741" top="0.9055118110236221" bottom="0.78740157480314965" header="0.51181102362204722" footer="0.51181102362204722"/>
  <pageSetup paperSize="9" scale="86" fitToHeight="0" orientation="landscape" r:id="rId1"/>
  <headerFooter alignWithMargins="0">
    <oddHeader>&amp;C&amp;"Verdana,Standard"Ausschreibung Reinigung Gemeinde Oberhaching 2026</oddHeader>
    <oddFooter>&amp;CSeite &amp;P von &amp;N Seiten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Tabelle40"/>
  <dimension ref="A1:J26"/>
  <sheetViews>
    <sheetView zoomScaleNormal="100" workbookViewId="0">
      <selection activeCell="F5" sqref="F5"/>
    </sheetView>
  </sheetViews>
  <sheetFormatPr baseColWidth="10" defaultColWidth="11.44140625" defaultRowHeight="13.2" x14ac:dyDescent="0.25"/>
  <cols>
    <col min="1" max="1" width="17" style="1" customWidth="1"/>
    <col min="2" max="2" width="22.44140625" style="1" customWidth="1"/>
    <col min="3" max="3" width="2.109375" style="1" customWidth="1"/>
    <col min="4" max="4" width="12.44140625" style="1" customWidth="1"/>
    <col min="5" max="5" width="15.33203125" style="1" customWidth="1"/>
    <col min="6" max="6" width="13.5546875" style="1" customWidth="1"/>
    <col min="7" max="7" width="1.33203125" style="1" customWidth="1"/>
    <col min="8" max="8" width="15.6640625" style="1" customWidth="1"/>
    <col min="9" max="9" width="16.33203125" style="1" customWidth="1"/>
    <col min="10" max="10" width="12.6640625" style="1" customWidth="1"/>
    <col min="11" max="16384" width="11.44140625" style="1"/>
  </cols>
  <sheetData>
    <row r="1" spans="1:10" ht="21" x14ac:dyDescent="0.25">
      <c r="A1" s="601" t="s">
        <v>59</v>
      </c>
      <c r="B1" s="601"/>
      <c r="C1" s="601"/>
      <c r="D1" s="601"/>
      <c r="E1" s="601"/>
      <c r="F1" s="601"/>
      <c r="G1" s="601"/>
      <c r="H1" s="601"/>
      <c r="I1" s="601"/>
      <c r="J1" s="601"/>
    </row>
    <row r="2" spans="1:10" ht="27.75" customHeight="1" x14ac:dyDescent="0.25"/>
    <row r="3" spans="1:10" ht="15" x14ac:dyDescent="0.25">
      <c r="A3" s="2" t="s">
        <v>2</v>
      </c>
      <c r="B3" s="125" t="str">
        <f>Basisdaten!B5</f>
        <v>Gemeinde Oberhaching</v>
      </c>
    </row>
    <row r="4" spans="1:10" ht="7.8" customHeight="1" x14ac:dyDescent="0.25">
      <c r="A4" s="2"/>
      <c r="B4" s="2"/>
    </row>
    <row r="5" spans="1:10" ht="7.8" customHeight="1" x14ac:dyDescent="0.25">
      <c r="A5" s="2"/>
      <c r="B5" s="2"/>
    </row>
    <row r="6" spans="1:10" ht="6" customHeight="1" x14ac:dyDescent="0.25">
      <c r="A6" s="2"/>
      <c r="B6" s="126"/>
    </row>
    <row r="7" spans="1:10" ht="35.4" customHeight="1" thickBot="1" x14ac:dyDescent="0.35">
      <c r="A7" s="661" t="s">
        <v>283</v>
      </c>
      <c r="B7" s="661"/>
      <c r="D7" s="661" t="s">
        <v>281</v>
      </c>
      <c r="E7" s="661"/>
      <c r="H7" s="663" t="s">
        <v>672</v>
      </c>
      <c r="I7" s="663"/>
    </row>
    <row r="8" spans="1:10" ht="35.25" customHeight="1" x14ac:dyDescent="0.25">
      <c r="A8" s="156" t="s">
        <v>91</v>
      </c>
      <c r="B8" s="159" t="s">
        <v>82</v>
      </c>
      <c r="D8" s="156" t="s">
        <v>91</v>
      </c>
      <c r="E8" s="159" t="s">
        <v>82</v>
      </c>
      <c r="H8" s="313" t="s">
        <v>91</v>
      </c>
      <c r="I8" s="314" t="s">
        <v>82</v>
      </c>
    </row>
    <row r="9" spans="1:10" ht="15" x14ac:dyDescent="0.25">
      <c r="A9" s="157" t="s">
        <v>93</v>
      </c>
      <c r="B9" s="160">
        <f>B10*2</f>
        <v>730.5</v>
      </c>
      <c r="D9" s="157" t="s">
        <v>93</v>
      </c>
      <c r="E9" s="160">
        <f>B9</f>
        <v>730.5</v>
      </c>
      <c r="F9" s="1" t="s">
        <v>858</v>
      </c>
      <c r="H9" s="315" t="s">
        <v>93</v>
      </c>
      <c r="I9" s="316">
        <f>B9</f>
        <v>730.5</v>
      </c>
      <c r="J9" s="1" t="s">
        <v>858</v>
      </c>
    </row>
    <row r="10" spans="1:10" ht="15" x14ac:dyDescent="0.25">
      <c r="A10" s="158" t="s">
        <v>66</v>
      </c>
      <c r="B10" s="161">
        <f>+'verrechenbare Arbeitstage'!E51</f>
        <v>365.25</v>
      </c>
      <c r="D10" s="158" t="s">
        <v>66</v>
      </c>
      <c r="E10" s="161">
        <f>B10</f>
        <v>365.25</v>
      </c>
      <c r="F10" s="1" t="s">
        <v>858</v>
      </c>
      <c r="H10" s="317" t="s">
        <v>66</v>
      </c>
      <c r="I10" s="318">
        <f>B10</f>
        <v>365.25</v>
      </c>
      <c r="J10" s="1" t="s">
        <v>858</v>
      </c>
    </row>
    <row r="11" spans="1:10" ht="15" x14ac:dyDescent="0.25">
      <c r="A11" s="157" t="s">
        <v>67</v>
      </c>
      <c r="B11" s="160">
        <f>+'verrechenbare Arbeitstage'!F51</f>
        <v>301.21428571428572</v>
      </c>
      <c r="D11" s="157" t="s">
        <v>67</v>
      </c>
      <c r="E11" s="160">
        <f>'verrechenbare Arbeitstage 2'!F51</f>
        <v>226.35714285714283</v>
      </c>
      <c r="F11" s="1" t="s">
        <v>859</v>
      </c>
      <c r="H11" s="315" t="s">
        <v>67</v>
      </c>
      <c r="I11" s="316">
        <f>B11</f>
        <v>301.21428571428572</v>
      </c>
      <c r="J11" s="1" t="s">
        <v>858</v>
      </c>
    </row>
    <row r="12" spans="1:10" ht="17.399999999999999" customHeight="1" x14ac:dyDescent="0.25">
      <c r="A12" s="158" t="s">
        <v>61</v>
      </c>
      <c r="B12" s="161">
        <f>'verrechenbare Arbeitstage'!G51</f>
        <v>250.17857142857139</v>
      </c>
      <c r="C12" s="662"/>
      <c r="D12" s="158" t="s">
        <v>61</v>
      </c>
      <c r="E12" s="161">
        <f>'verrechenbare Arbeitstage 2'!G51</f>
        <v>188.46428571428572</v>
      </c>
      <c r="F12" s="1" t="s">
        <v>859</v>
      </c>
      <c r="H12" s="317" t="s">
        <v>61</v>
      </c>
      <c r="I12" s="318">
        <v>230</v>
      </c>
      <c r="J12" s="1" t="s">
        <v>860</v>
      </c>
    </row>
    <row r="13" spans="1:10" ht="15" x14ac:dyDescent="0.25">
      <c r="A13" s="157" t="s">
        <v>65</v>
      </c>
      <c r="B13" s="160">
        <f>+'verrechenbare Arbeitstage'!H51</f>
        <v>200.14285714285714</v>
      </c>
      <c r="C13" s="662"/>
      <c r="D13" s="157" t="s">
        <v>65</v>
      </c>
      <c r="E13" s="160">
        <f>'verrechenbare Arbeitstage 2'!H51</f>
        <v>150.77142857142854</v>
      </c>
      <c r="F13" s="1" t="s">
        <v>859</v>
      </c>
      <c r="H13" s="315" t="s">
        <v>65</v>
      </c>
      <c r="I13" s="316">
        <f>I12*4/5</f>
        <v>184</v>
      </c>
      <c r="J13" s="1" t="s">
        <v>860</v>
      </c>
    </row>
    <row r="14" spans="1:10" ht="15" x14ac:dyDescent="0.25">
      <c r="A14" s="158" t="s">
        <v>62</v>
      </c>
      <c r="B14" s="161">
        <f>+'verrechenbare Arbeitstage'!I51</f>
        <v>156.53571428571428</v>
      </c>
      <c r="C14" s="662"/>
      <c r="D14" s="158" t="s">
        <v>62</v>
      </c>
      <c r="E14" s="161">
        <f>'verrechenbare Arbeitstage 2'!I51</f>
        <v>114.53571428571426</v>
      </c>
      <c r="F14" s="1" t="s">
        <v>859</v>
      </c>
      <c r="H14" s="317" t="s">
        <v>62</v>
      </c>
      <c r="I14" s="318">
        <f>I17*3</f>
        <v>144</v>
      </c>
      <c r="J14" s="1" t="s">
        <v>860</v>
      </c>
    </row>
    <row r="15" spans="1:10" ht="15" x14ac:dyDescent="0.25">
      <c r="A15" s="157" t="s">
        <v>63</v>
      </c>
      <c r="B15" s="160">
        <f>+'verrechenbare Arbeitstage'!J51</f>
        <v>130.44642857142856</v>
      </c>
      <c r="D15" s="157" t="s">
        <v>63</v>
      </c>
      <c r="E15" s="160">
        <f>'verrechenbare Arbeitstage 2'!J51</f>
        <v>95.446428571428555</v>
      </c>
      <c r="F15" s="1" t="s">
        <v>859</v>
      </c>
      <c r="H15" s="315" t="s">
        <v>63</v>
      </c>
      <c r="I15" s="316">
        <f>I17*2.5</f>
        <v>120</v>
      </c>
      <c r="J15" s="1" t="s">
        <v>860</v>
      </c>
    </row>
    <row r="16" spans="1:10" ht="15" x14ac:dyDescent="0.25">
      <c r="A16" s="158" t="s">
        <v>64</v>
      </c>
      <c r="B16" s="161">
        <f>+'verrechenbare Arbeitstage'!K51</f>
        <v>104.35714285714283</v>
      </c>
      <c r="D16" s="158" t="s">
        <v>64</v>
      </c>
      <c r="E16" s="161">
        <f>'verrechenbare Arbeitstage 2'!K51</f>
        <v>76.357142857142833</v>
      </c>
      <c r="F16" s="1" t="s">
        <v>859</v>
      </c>
      <c r="H16" s="317" t="s">
        <v>64</v>
      </c>
      <c r="I16" s="318">
        <f>I17*2</f>
        <v>96</v>
      </c>
      <c r="J16" s="1" t="s">
        <v>860</v>
      </c>
    </row>
    <row r="17" spans="1:10" ht="15" x14ac:dyDescent="0.25">
      <c r="A17" s="157" t="s">
        <v>30</v>
      </c>
      <c r="B17" s="160">
        <f>+'verrechenbare Arbeitstage'!L51</f>
        <v>52.178571428571388</v>
      </c>
      <c r="D17" s="157" t="s">
        <v>30</v>
      </c>
      <c r="E17" s="160">
        <f>'verrechenbare Arbeitstage 2'!L51</f>
        <v>38.178571428571388</v>
      </c>
      <c r="F17" s="1" t="s">
        <v>859</v>
      </c>
      <c r="H17" s="315" t="s">
        <v>30</v>
      </c>
      <c r="I17" s="316">
        <v>48</v>
      </c>
      <c r="J17" s="1" t="s">
        <v>860</v>
      </c>
    </row>
    <row r="18" spans="1:10" ht="15" x14ac:dyDescent="0.25">
      <c r="A18" s="158" t="s">
        <v>282</v>
      </c>
      <c r="B18" s="162">
        <v>24</v>
      </c>
      <c r="D18" s="158" t="s">
        <v>282</v>
      </c>
      <c r="E18" s="162">
        <v>20</v>
      </c>
      <c r="F18" s="1" t="s">
        <v>859</v>
      </c>
      <c r="H18" s="317" t="s">
        <v>282</v>
      </c>
      <c r="I18" s="319">
        <v>24</v>
      </c>
      <c r="J18" s="1" t="s">
        <v>860</v>
      </c>
    </row>
    <row r="19" spans="1:10" ht="15" x14ac:dyDescent="0.25">
      <c r="A19" s="157" t="s">
        <v>31</v>
      </c>
      <c r="B19" s="163">
        <v>12</v>
      </c>
      <c r="D19" s="157" t="s">
        <v>31</v>
      </c>
      <c r="E19" s="163">
        <v>11</v>
      </c>
      <c r="F19" s="1" t="s">
        <v>859</v>
      </c>
      <c r="H19" s="315" t="s">
        <v>31</v>
      </c>
      <c r="I19" s="320">
        <v>12</v>
      </c>
      <c r="J19" s="1" t="s">
        <v>860</v>
      </c>
    </row>
    <row r="20" spans="1:10" ht="15" x14ac:dyDescent="0.25">
      <c r="A20" s="158" t="s">
        <v>52</v>
      </c>
      <c r="B20" s="162">
        <v>4</v>
      </c>
      <c r="D20" s="158" t="s">
        <v>52</v>
      </c>
      <c r="E20" s="162">
        <v>4</v>
      </c>
      <c r="F20" s="1" t="s">
        <v>859</v>
      </c>
      <c r="H20" s="317" t="s">
        <v>52</v>
      </c>
      <c r="I20" s="319">
        <v>4</v>
      </c>
      <c r="J20" s="1" t="s">
        <v>860</v>
      </c>
    </row>
    <row r="21" spans="1:10" ht="15" x14ac:dyDescent="0.25">
      <c r="A21" s="157" t="s">
        <v>92</v>
      </c>
      <c r="B21" s="163">
        <v>3</v>
      </c>
      <c r="D21" s="157" t="s">
        <v>92</v>
      </c>
      <c r="E21" s="163">
        <v>3</v>
      </c>
      <c r="F21" s="1" t="s">
        <v>859</v>
      </c>
      <c r="H21" s="315" t="s">
        <v>92</v>
      </c>
      <c r="I21" s="320">
        <v>3</v>
      </c>
      <c r="J21" s="1" t="s">
        <v>860</v>
      </c>
    </row>
    <row r="22" spans="1:10" ht="15" x14ac:dyDescent="0.25">
      <c r="A22" s="158" t="s">
        <v>51</v>
      </c>
      <c r="B22" s="162">
        <v>2</v>
      </c>
      <c r="D22" s="158" t="s">
        <v>51</v>
      </c>
      <c r="E22" s="162">
        <v>2</v>
      </c>
      <c r="F22" s="1" t="s">
        <v>859</v>
      </c>
      <c r="H22" s="317" t="s">
        <v>51</v>
      </c>
      <c r="I22" s="319">
        <v>2</v>
      </c>
      <c r="J22" s="1" t="s">
        <v>860</v>
      </c>
    </row>
    <row r="23" spans="1:10" ht="15" x14ac:dyDescent="0.25">
      <c r="A23" s="157" t="s">
        <v>54</v>
      </c>
      <c r="B23" s="163">
        <v>1</v>
      </c>
      <c r="D23" s="157" t="s">
        <v>54</v>
      </c>
      <c r="E23" s="163">
        <v>1</v>
      </c>
      <c r="F23" s="1" t="s">
        <v>859</v>
      </c>
      <c r="H23" s="315" t="s">
        <v>54</v>
      </c>
      <c r="I23" s="320">
        <v>1</v>
      </c>
      <c r="J23" s="1" t="s">
        <v>860</v>
      </c>
    </row>
    <row r="24" spans="1:10" ht="15" x14ac:dyDescent="0.25">
      <c r="A24" s="542" t="s">
        <v>909</v>
      </c>
      <c r="B24" s="543">
        <v>0.5</v>
      </c>
      <c r="C24" s="544"/>
      <c r="D24" s="542" t="s">
        <v>909</v>
      </c>
      <c r="E24" s="543">
        <v>0.5</v>
      </c>
      <c r="F24" s="1" t="s">
        <v>859</v>
      </c>
      <c r="G24" s="544"/>
      <c r="H24" s="542" t="s">
        <v>909</v>
      </c>
      <c r="I24" s="543">
        <v>0.5</v>
      </c>
      <c r="J24" s="1" t="s">
        <v>860</v>
      </c>
    </row>
    <row r="25" spans="1:10" ht="15" x14ac:dyDescent="0.25">
      <c r="A25" s="157" t="s">
        <v>888</v>
      </c>
      <c r="B25" s="163">
        <v>1</v>
      </c>
      <c r="D25" s="157" t="s">
        <v>888</v>
      </c>
      <c r="E25" s="163">
        <v>1</v>
      </c>
      <c r="F25" s="1" t="s">
        <v>859</v>
      </c>
      <c r="H25" s="315" t="s">
        <v>888</v>
      </c>
      <c r="I25" s="320">
        <v>1</v>
      </c>
      <c r="J25" s="1" t="s">
        <v>860</v>
      </c>
    </row>
    <row r="26" spans="1:10" ht="15.6" thickBot="1" x14ac:dyDescent="0.3">
      <c r="A26" s="502" t="s">
        <v>68</v>
      </c>
      <c r="B26" s="503">
        <v>0</v>
      </c>
      <c r="C26" s="504"/>
      <c r="D26" s="502" t="s">
        <v>68</v>
      </c>
      <c r="E26" s="503">
        <v>0</v>
      </c>
      <c r="F26" s="504"/>
      <c r="G26" s="504"/>
      <c r="H26" s="505" t="s">
        <v>68</v>
      </c>
      <c r="I26" s="506">
        <v>0</v>
      </c>
    </row>
  </sheetData>
  <sheetProtection selectLockedCells="1"/>
  <mergeCells count="5">
    <mergeCell ref="A7:B7"/>
    <mergeCell ref="D7:E7"/>
    <mergeCell ref="A1:J1"/>
    <mergeCell ref="C12:C14"/>
    <mergeCell ref="H7:I7"/>
  </mergeCells>
  <pageMargins left="0.70866141732283472" right="0.70866141732283472" top="0.64500000000000002" bottom="0.78740157480314965" header="0.31496062992125984" footer="0.31496062992125984"/>
  <pageSetup paperSize="9" scale="80" orientation="landscape" horizontalDpi="4294967293" verticalDpi="300" r:id="rId1"/>
  <headerFooter>
    <oddHeader>&amp;CAusschreibung Reinigung Gemeinde Oberhaching 2026</oddHeader>
    <oddFooter>Seite &amp;P von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O159"/>
  <sheetViews>
    <sheetView zoomScale="80" zoomScaleNormal="80" zoomScaleSheetLayoutView="100" zoomScalePageLayoutView="90" workbookViewId="0">
      <selection activeCell="G3" sqref="G3"/>
    </sheetView>
  </sheetViews>
  <sheetFormatPr baseColWidth="10" defaultColWidth="11.44140625" defaultRowHeight="13.2" x14ac:dyDescent="0.25"/>
  <cols>
    <col min="1" max="1" width="4.109375" style="8" customWidth="1"/>
    <col min="2" max="2" width="17.44140625" style="8" customWidth="1"/>
    <col min="3" max="3" width="20.109375" style="8" customWidth="1"/>
    <col min="4" max="4" width="12.33203125" style="8" customWidth="1"/>
    <col min="5" max="5" width="11.5546875" style="8" customWidth="1"/>
    <col min="6" max="6" width="2.88671875" style="8" customWidth="1"/>
    <col min="7" max="7" width="11.109375" style="8" customWidth="1"/>
    <col min="8" max="8" width="10.44140625" style="8" customWidth="1"/>
    <col min="9" max="9" width="5.21875" style="8" customWidth="1"/>
    <col min="10" max="10" width="21.33203125" style="50" customWidth="1"/>
    <col min="11" max="11" width="0.6640625" style="8" customWidth="1"/>
    <col min="12" max="12" width="20.21875" style="9" customWidth="1"/>
    <col min="13" max="14" width="11.44140625" style="8"/>
    <col min="15" max="15" width="14.21875" style="8" customWidth="1"/>
    <col min="16" max="16384" width="11.44140625" style="8"/>
  </cols>
  <sheetData>
    <row r="1" spans="1:12" ht="31.5" customHeight="1" x14ac:dyDescent="0.25">
      <c r="A1" s="614" t="s">
        <v>843</v>
      </c>
      <c r="B1" s="614"/>
      <c r="C1" s="614"/>
      <c r="D1" s="614"/>
      <c r="E1" s="614"/>
      <c r="F1" s="614"/>
      <c r="G1" s="614"/>
      <c r="H1" s="614"/>
      <c r="I1" s="614"/>
      <c r="J1" s="614"/>
      <c r="K1" s="614"/>
    </row>
    <row r="2" spans="1:12" ht="6.6" customHeight="1" x14ac:dyDescent="0.25">
      <c r="A2" s="9"/>
      <c r="B2" s="9"/>
      <c r="C2" s="9"/>
      <c r="D2" s="9"/>
      <c r="E2" s="9"/>
      <c r="F2" s="9"/>
      <c r="G2" s="9"/>
      <c r="H2" s="9"/>
      <c r="I2" s="9"/>
      <c r="J2" s="10"/>
      <c r="K2" s="9"/>
    </row>
    <row r="3" spans="1:12" ht="43.5" customHeight="1" x14ac:dyDescent="0.25">
      <c r="A3" s="11" t="s">
        <v>3</v>
      </c>
      <c r="B3" s="9"/>
      <c r="C3" s="615">
        <f>Basisdaten!E5</f>
        <v>0</v>
      </c>
      <c r="D3" s="616"/>
      <c r="E3" s="617"/>
      <c r="F3" s="9"/>
      <c r="G3" s="9"/>
      <c r="H3" s="12"/>
      <c r="I3" s="12"/>
      <c r="J3" s="12"/>
      <c r="K3" s="9"/>
      <c r="L3" s="9" t="s">
        <v>0</v>
      </c>
    </row>
    <row r="4" spans="1:12" ht="18.75" customHeight="1" x14ac:dyDescent="0.25">
      <c r="A4" s="14" t="s">
        <v>1</v>
      </c>
      <c r="B4" s="9"/>
      <c r="C4" s="15">
        <f>Basisdaten!E3</f>
        <v>0</v>
      </c>
      <c r="D4" s="9"/>
      <c r="E4" s="9"/>
      <c r="F4" s="9"/>
      <c r="G4" s="9"/>
      <c r="H4" s="9"/>
      <c r="I4" s="9"/>
      <c r="J4" s="16"/>
      <c r="K4" s="9"/>
    </row>
    <row r="5" spans="1:12" ht="24" customHeight="1" x14ac:dyDescent="0.25">
      <c r="A5" s="11" t="s">
        <v>5</v>
      </c>
      <c r="B5" s="9"/>
      <c r="C5" s="618" t="str">
        <f>Basisdaten!B5</f>
        <v>Gemeinde Oberhaching</v>
      </c>
      <c r="D5" s="618"/>
      <c r="E5" s="618"/>
      <c r="F5" s="9"/>
      <c r="G5" s="11"/>
      <c r="H5" s="12" t="s">
        <v>6</v>
      </c>
      <c r="I5" s="619" t="s">
        <v>845</v>
      </c>
      <c r="J5" s="619"/>
      <c r="K5" s="619"/>
    </row>
    <row r="6" spans="1:12" ht="5.25" customHeight="1" x14ac:dyDescent="0.25">
      <c r="A6" s="17"/>
      <c r="B6" s="9"/>
      <c r="C6" s="9"/>
      <c r="D6" s="9"/>
      <c r="E6" s="9"/>
      <c r="F6" s="9"/>
      <c r="G6" s="9"/>
      <c r="H6" s="9"/>
      <c r="I6" s="9"/>
      <c r="J6" s="16"/>
      <c r="K6" s="9"/>
    </row>
    <row r="7" spans="1:12" s="138" customFormat="1" ht="20.25" customHeight="1" x14ac:dyDescent="0.25">
      <c r="A7" s="620" t="s">
        <v>97</v>
      </c>
      <c r="B7" s="621"/>
      <c r="C7" s="621"/>
      <c r="D7" s="621"/>
      <c r="E7" s="136"/>
      <c r="F7" s="136"/>
      <c r="G7" s="622" t="s">
        <v>943</v>
      </c>
      <c r="H7" s="622"/>
      <c r="I7" s="132"/>
      <c r="J7" s="18" t="s">
        <v>7</v>
      </c>
      <c r="K7" s="137"/>
      <c r="L7" s="137"/>
    </row>
    <row r="8" spans="1:12" ht="7.5" customHeight="1" x14ac:dyDescent="0.25">
      <c r="A8" s="17"/>
      <c r="B8" s="17"/>
      <c r="C8" s="9"/>
      <c r="D8" s="9"/>
      <c r="E8" s="9"/>
      <c r="F8" s="9"/>
      <c r="G8" s="9"/>
      <c r="H8" s="9"/>
      <c r="I8" s="9"/>
      <c r="J8" s="10"/>
      <c r="K8" s="9"/>
    </row>
    <row r="9" spans="1:12" ht="39" customHeight="1" x14ac:dyDescent="0.25">
      <c r="A9" s="17"/>
      <c r="B9" s="17" t="s">
        <v>985</v>
      </c>
      <c r="C9" s="9"/>
      <c r="D9" s="9"/>
      <c r="E9" s="9"/>
      <c r="F9" s="9"/>
      <c r="G9" s="613" t="s">
        <v>944</v>
      </c>
      <c r="H9" s="613"/>
      <c r="I9" s="9"/>
      <c r="J9" s="13">
        <f>'Kalk UHR GS Deisenhofen'!P6</f>
        <v>0</v>
      </c>
      <c r="K9" s="9"/>
    </row>
    <row r="10" spans="1:12" ht="35.4" customHeight="1" x14ac:dyDescent="0.25">
      <c r="A10" s="17"/>
      <c r="B10" s="17" t="s">
        <v>662</v>
      </c>
      <c r="C10" s="9"/>
      <c r="D10" s="9"/>
      <c r="E10" s="9"/>
      <c r="F10" s="9"/>
      <c r="G10" s="613"/>
      <c r="H10" s="613"/>
      <c r="I10" s="9"/>
      <c r="J10" s="13">
        <f>'Kalk UHR KiGa Am Rain'!P6</f>
        <v>0</v>
      </c>
      <c r="K10" s="9"/>
    </row>
    <row r="11" spans="1:12" ht="7.5" customHeight="1" x14ac:dyDescent="0.25">
      <c r="A11" s="17"/>
      <c r="B11" s="17"/>
      <c r="C11" s="9"/>
      <c r="D11" s="9"/>
      <c r="E11" s="9"/>
      <c r="F11" s="9"/>
      <c r="G11" s="9"/>
      <c r="H11" s="9"/>
      <c r="I11" s="9"/>
      <c r="J11" s="10"/>
      <c r="K11" s="9"/>
    </row>
    <row r="12" spans="1:12" s="21" customFormat="1" ht="21" customHeight="1" x14ac:dyDescent="0.25">
      <c r="A12" s="514" t="s">
        <v>242</v>
      </c>
      <c r="B12" s="514"/>
      <c r="C12" s="515"/>
      <c r="D12" s="626"/>
      <c r="E12" s="626"/>
      <c r="F12" s="514"/>
      <c r="G12" s="627"/>
      <c r="H12" s="627"/>
      <c r="I12" s="514"/>
      <c r="J12" s="516">
        <f>SUM(J9:J10)</f>
        <v>0</v>
      </c>
      <c r="K12" s="11"/>
      <c r="L12" s="9"/>
    </row>
    <row r="13" spans="1:12" ht="9" customHeight="1" x14ac:dyDescent="0.25">
      <c r="A13" s="9"/>
      <c r="B13" s="17"/>
      <c r="C13" s="9"/>
      <c r="D13" s="9"/>
      <c r="E13" s="9"/>
      <c r="F13" s="9"/>
      <c r="G13" s="9"/>
      <c r="H13" s="9"/>
      <c r="I13" s="9"/>
      <c r="J13" s="9"/>
      <c r="K13" s="9"/>
    </row>
    <row r="14" spans="1:12" ht="25.2" customHeight="1" x14ac:dyDescent="0.25">
      <c r="A14" s="623" t="s">
        <v>623</v>
      </c>
      <c r="B14" s="624"/>
      <c r="C14" s="624"/>
      <c r="D14" s="624"/>
      <c r="E14" s="517"/>
      <c r="F14" s="517"/>
      <c r="G14" s="517" t="s">
        <v>625</v>
      </c>
      <c r="H14" s="518" t="s">
        <v>10</v>
      </c>
      <c r="I14" s="517"/>
      <c r="J14" s="519" t="s">
        <v>624</v>
      </c>
      <c r="K14" s="9"/>
    </row>
    <row r="15" spans="1:12" ht="14.4" customHeight="1" x14ac:dyDescent="0.25">
      <c r="A15" s="9"/>
      <c r="B15" s="417" t="s">
        <v>626</v>
      </c>
      <c r="C15" s="9"/>
      <c r="D15" s="9"/>
      <c r="E15" s="9"/>
      <c r="F15" s="9"/>
      <c r="G15" s="9"/>
      <c r="H15" s="9"/>
      <c r="I15" s="9"/>
      <c r="J15" s="8"/>
      <c r="K15" s="9"/>
    </row>
    <row r="16" spans="1:12" ht="20.399999999999999" customHeight="1" x14ac:dyDescent="0.25">
      <c r="A16" s="9"/>
      <c r="B16" s="17" t="s">
        <v>907</v>
      </c>
      <c r="C16" s="9"/>
      <c r="D16" s="9"/>
      <c r="E16" s="9"/>
      <c r="F16" s="9"/>
      <c r="G16" s="416">
        <v>10</v>
      </c>
      <c r="H16" s="40"/>
      <c r="I16" s="30"/>
      <c r="J16" s="551">
        <f>G16*H16</f>
        <v>0</v>
      </c>
      <c r="K16" s="9"/>
    </row>
    <row r="17" spans="1:15" ht="6" customHeight="1" x14ac:dyDescent="0.25">
      <c r="A17" s="9"/>
      <c r="B17" s="17"/>
      <c r="C17" s="9"/>
      <c r="D17" s="9"/>
      <c r="E17" s="9"/>
      <c r="F17" s="9"/>
      <c r="G17" s="416"/>
      <c r="H17" s="9"/>
      <c r="I17" s="9"/>
      <c r="J17" s="9"/>
      <c r="K17" s="9"/>
    </row>
    <row r="18" spans="1:15" ht="21" customHeight="1" x14ac:dyDescent="0.25">
      <c r="A18" s="9"/>
      <c r="B18" s="17" t="s">
        <v>912</v>
      </c>
      <c r="C18" s="9"/>
      <c r="D18" s="9"/>
      <c r="E18" s="9"/>
      <c r="F18" s="9"/>
      <c r="G18" s="416">
        <v>5</v>
      </c>
      <c r="H18" s="40"/>
      <c r="I18" s="9"/>
      <c r="J18" s="551">
        <f>G18*H18</f>
        <v>0</v>
      </c>
      <c r="K18" s="9"/>
    </row>
    <row r="19" spans="1:15" ht="10.8" customHeight="1" x14ac:dyDescent="0.25">
      <c r="A19" s="9"/>
      <c r="B19" s="9"/>
      <c r="C19" s="9"/>
      <c r="D19" s="9"/>
      <c r="E19" s="9"/>
      <c r="F19" s="9"/>
      <c r="G19" s="9"/>
      <c r="H19" s="10"/>
      <c r="I19" s="9"/>
      <c r="J19" s="8"/>
      <c r="K19" s="9"/>
    </row>
    <row r="20" spans="1:15" ht="18" customHeight="1" x14ac:dyDescent="0.25">
      <c r="A20" s="133" t="s">
        <v>627</v>
      </c>
      <c r="B20" s="133"/>
      <c r="C20" s="134"/>
      <c r="D20" s="625"/>
      <c r="E20" s="625"/>
      <c r="F20" s="625"/>
      <c r="G20" s="625"/>
      <c r="H20" s="625"/>
      <c r="I20" s="625"/>
      <c r="J20" s="135">
        <f>SUM(J16:J18)</f>
        <v>0</v>
      </c>
      <c r="K20" s="9"/>
    </row>
    <row r="21" spans="1:15" ht="6.75" customHeight="1" x14ac:dyDescent="0.25">
      <c r="A21" s="9"/>
      <c r="B21" s="17"/>
      <c r="C21" s="9"/>
      <c r="D21" s="9"/>
      <c r="E21" s="9"/>
      <c r="F21" s="9"/>
      <c r="G21" s="9"/>
      <c r="H21" s="9"/>
      <c r="I21" s="9"/>
      <c r="J21" s="10"/>
      <c r="K21" s="9"/>
    </row>
    <row r="22" spans="1:15" ht="22.2" customHeight="1" x14ac:dyDescent="0.25">
      <c r="A22" s="611" t="s">
        <v>994</v>
      </c>
      <c r="B22" s="612"/>
      <c r="C22" s="612"/>
      <c r="D22" s="612"/>
      <c r="E22" s="509"/>
      <c r="F22" s="509"/>
      <c r="G22" s="605" t="s">
        <v>943</v>
      </c>
      <c r="H22" s="605"/>
      <c r="I22" s="509"/>
      <c r="J22" s="510" t="s">
        <v>624</v>
      </c>
      <c r="K22" s="9"/>
    </row>
    <row r="23" spans="1:15" ht="4.8" customHeight="1" x14ac:dyDescent="0.25">
      <c r="A23" s="430"/>
      <c r="B23" s="430"/>
      <c r="C23" s="430"/>
      <c r="D23" s="430"/>
      <c r="E23" s="430"/>
      <c r="F23" s="430"/>
      <c r="G23" s="430"/>
      <c r="H23" s="430"/>
      <c r="I23" s="430"/>
      <c r="J23" s="430"/>
      <c r="K23" s="430"/>
      <c r="M23" s="430"/>
      <c r="N23" s="430"/>
      <c r="O23" s="430"/>
    </row>
    <row r="24" spans="1:15" ht="32.4" customHeight="1" x14ac:dyDescent="0.25">
      <c r="A24" s="17"/>
      <c r="B24" s="17" t="s">
        <v>984</v>
      </c>
      <c r="C24" s="9"/>
      <c r="D24" s="9"/>
      <c r="E24" s="9"/>
      <c r="F24" s="9"/>
      <c r="G24" s="613" t="s">
        <v>944</v>
      </c>
      <c r="H24" s="613"/>
      <c r="I24" s="9"/>
      <c r="J24" s="13">
        <f>'Kalk GR GS Deisenhofen'!Q6</f>
        <v>0</v>
      </c>
      <c r="K24" s="9"/>
      <c r="M24" s="592"/>
      <c r="N24" s="592"/>
      <c r="O24" s="592"/>
    </row>
    <row r="25" spans="1:15" ht="37.200000000000003" customHeight="1" x14ac:dyDescent="0.25">
      <c r="A25" s="17"/>
      <c r="B25" s="17" t="s">
        <v>834</v>
      </c>
      <c r="C25" s="9"/>
      <c r="D25" s="9"/>
      <c r="E25" s="9"/>
      <c r="F25" s="9"/>
      <c r="G25" s="613"/>
      <c r="H25" s="613"/>
      <c r="I25" s="9"/>
      <c r="J25" s="13">
        <f>'Kalk GR KiGa Am Rain'!Q6</f>
        <v>0</v>
      </c>
      <c r="K25" s="9"/>
      <c r="M25" s="592"/>
      <c r="N25" s="592"/>
      <c r="O25" s="592"/>
    </row>
    <row r="26" spans="1:15" ht="8.4" customHeight="1" x14ac:dyDescent="0.25">
      <c r="J26" s="8"/>
    </row>
    <row r="27" spans="1:15" ht="18" customHeight="1" x14ac:dyDescent="0.25">
      <c r="A27" s="511" t="s">
        <v>665</v>
      </c>
      <c r="B27" s="511"/>
      <c r="C27" s="512"/>
      <c r="D27" s="606"/>
      <c r="E27" s="606"/>
      <c r="F27" s="606"/>
      <c r="G27" s="606"/>
      <c r="H27" s="606"/>
      <c r="I27" s="606"/>
      <c r="J27" s="513">
        <f>SUM(J24:J25)</f>
        <v>0</v>
      </c>
      <c r="K27" s="9"/>
    </row>
    <row r="28" spans="1:15" s="21" customFormat="1" ht="10.8" customHeight="1" x14ac:dyDescent="0.25">
      <c r="L28" s="11"/>
    </row>
    <row r="29" spans="1:15" ht="21.6" customHeight="1" x14ac:dyDescent="0.25">
      <c r="A29" s="611" t="s">
        <v>995</v>
      </c>
      <c r="B29" s="612"/>
      <c r="C29" s="612"/>
      <c r="D29" s="612"/>
      <c r="E29" s="509"/>
      <c r="F29" s="509"/>
      <c r="G29" s="605" t="s">
        <v>943</v>
      </c>
      <c r="H29" s="605"/>
      <c r="I29" s="509"/>
      <c r="J29" s="510" t="s">
        <v>624</v>
      </c>
      <c r="K29" s="9"/>
    </row>
    <row r="30" spans="1:15" ht="7.2" customHeight="1" x14ac:dyDescent="0.25">
      <c r="A30" s="430"/>
      <c r="B30" s="430"/>
      <c r="C30" s="430"/>
      <c r="D30" s="430"/>
      <c r="E30" s="430"/>
      <c r="F30" s="430"/>
      <c r="G30" s="430"/>
      <c r="H30" s="430"/>
      <c r="I30" s="430"/>
      <c r="J30" s="430"/>
      <c r="K30" s="430"/>
      <c r="M30" s="430"/>
      <c r="N30" s="430"/>
      <c r="O30" s="430"/>
    </row>
    <row r="31" spans="1:15" ht="40.049999999999997" customHeight="1" x14ac:dyDescent="0.25">
      <c r="A31" s="17"/>
      <c r="B31" s="17" t="s">
        <v>986</v>
      </c>
      <c r="C31" s="9"/>
      <c r="D31" s="9"/>
      <c r="E31" s="9"/>
      <c r="F31" s="9"/>
      <c r="G31" s="613" t="s">
        <v>944</v>
      </c>
      <c r="H31" s="613"/>
      <c r="I31" s="9"/>
      <c r="J31" s="13">
        <f>'Kalk Innengl.GS Deisenhofen'!O252</f>
        <v>0</v>
      </c>
      <c r="K31" s="9"/>
      <c r="L31" s="374"/>
      <c r="M31" s="430"/>
      <c r="N31" s="430"/>
      <c r="O31" s="430"/>
    </row>
    <row r="32" spans="1:15" ht="37.950000000000003" customHeight="1" x14ac:dyDescent="0.25">
      <c r="A32" s="17"/>
      <c r="B32" s="17" t="s">
        <v>941</v>
      </c>
      <c r="C32" s="9"/>
      <c r="D32" s="9"/>
      <c r="E32" s="9"/>
      <c r="F32" s="9"/>
      <c r="G32" s="613"/>
      <c r="H32" s="613"/>
      <c r="I32" s="9"/>
      <c r="J32" s="13">
        <f>'Kalk Innengl.KiGa Am Rain'!O77</f>
        <v>0</v>
      </c>
      <c r="K32" s="9"/>
      <c r="M32" s="430"/>
      <c r="N32" s="430"/>
      <c r="O32" s="430"/>
    </row>
    <row r="33" spans="1:12" ht="8.4" customHeight="1" x14ac:dyDescent="0.25">
      <c r="J33" s="8"/>
    </row>
    <row r="34" spans="1:12" ht="18" customHeight="1" x14ac:dyDescent="0.25">
      <c r="A34" s="511" t="s">
        <v>992</v>
      </c>
      <c r="B34" s="511"/>
      <c r="C34" s="512"/>
      <c r="D34" s="606"/>
      <c r="E34" s="606"/>
      <c r="F34" s="606"/>
      <c r="G34" s="606"/>
      <c r="H34" s="606"/>
      <c r="I34" s="606"/>
      <c r="J34" s="513">
        <f>SUM(J31:J32)</f>
        <v>0</v>
      </c>
      <c r="K34" s="9"/>
    </row>
    <row r="35" spans="1:12" s="21" customFormat="1" ht="10.8" customHeight="1" x14ac:dyDescent="0.25">
      <c r="L35" s="11"/>
    </row>
    <row r="36" spans="1:12" ht="22.8" customHeight="1" x14ac:dyDescent="0.25">
      <c r="A36" s="608" t="s">
        <v>942</v>
      </c>
      <c r="B36" s="609"/>
      <c r="C36" s="609"/>
      <c r="D36" s="523"/>
      <c r="E36" s="523" t="s">
        <v>694</v>
      </c>
      <c r="F36" s="523"/>
      <c r="G36" s="523"/>
      <c r="H36" s="523" t="s">
        <v>695</v>
      </c>
      <c r="I36" s="524"/>
      <c r="J36" s="525" t="s">
        <v>7</v>
      </c>
      <c r="K36" s="9"/>
      <c r="L36" s="374"/>
    </row>
    <row r="37" spans="1:12" ht="12.75" customHeight="1" x14ac:dyDescent="0.25">
      <c r="A37" s="374" t="s">
        <v>693</v>
      </c>
      <c r="B37" s="17"/>
      <c r="C37" s="9"/>
      <c r="D37" s="9"/>
      <c r="E37" s="9"/>
      <c r="F37" s="9"/>
      <c r="G37" s="9"/>
      <c r="H37" s="9"/>
      <c r="I37" s="9"/>
      <c r="J37" s="10"/>
      <c r="K37" s="9"/>
    </row>
    <row r="38" spans="1:12" s="20" customFormat="1" ht="27" customHeight="1" x14ac:dyDescent="0.25">
      <c r="A38" s="17"/>
      <c r="B38" s="146" t="s">
        <v>696</v>
      </c>
      <c r="C38" s="146"/>
      <c r="D38" s="146"/>
      <c r="E38" s="17">
        <v>10</v>
      </c>
      <c r="F38" s="9"/>
      <c r="G38" s="9"/>
      <c r="H38" s="420"/>
      <c r="I38" s="17"/>
      <c r="J38" s="19">
        <f>E38*H38</f>
        <v>0</v>
      </c>
      <c r="K38" s="17"/>
      <c r="L38" s="17"/>
    </row>
    <row r="39" spans="1:12" s="20" customFormat="1" ht="30" customHeight="1" x14ac:dyDescent="0.25">
      <c r="A39" s="17"/>
      <c r="B39" s="146" t="s">
        <v>697</v>
      </c>
      <c r="C39" s="146"/>
      <c r="D39" s="146"/>
      <c r="E39" s="17">
        <v>10</v>
      </c>
      <c r="F39" s="9"/>
      <c r="G39" s="9"/>
      <c r="H39" s="420"/>
      <c r="I39" s="17"/>
      <c r="J39" s="19">
        <f>E39*H39</f>
        <v>0</v>
      </c>
      <c r="K39" s="17"/>
      <c r="L39" s="17"/>
    </row>
    <row r="40" spans="1:12" s="20" customFormat="1" ht="33" customHeight="1" x14ac:dyDescent="0.25">
      <c r="A40" s="17"/>
      <c r="B40" s="610" t="s">
        <v>698</v>
      </c>
      <c r="C40" s="610"/>
      <c r="D40" s="610"/>
      <c r="E40" s="17">
        <v>10</v>
      </c>
      <c r="F40" s="9"/>
      <c r="G40" s="9"/>
      <c r="H40" s="420"/>
      <c r="I40" s="17"/>
      <c r="J40" s="19">
        <f>E40*H40</f>
        <v>0</v>
      </c>
      <c r="K40" s="17"/>
      <c r="L40" s="17"/>
    </row>
    <row r="41" spans="1:12" ht="3.75" customHeight="1" x14ac:dyDescent="0.25">
      <c r="A41" s="17"/>
      <c r="B41" s="17"/>
      <c r="C41" s="9"/>
      <c r="D41" s="9"/>
      <c r="E41" s="9"/>
      <c r="F41" s="9"/>
      <c r="G41" s="9"/>
      <c r="H41" s="9"/>
      <c r="I41" s="9"/>
      <c r="J41" s="10"/>
      <c r="K41" s="9"/>
    </row>
    <row r="42" spans="1:12" s="21" customFormat="1" ht="21" customHeight="1" x14ac:dyDescent="0.25">
      <c r="A42" s="520"/>
      <c r="B42" s="520" t="s">
        <v>699</v>
      </c>
      <c r="C42" s="521"/>
      <c r="D42" s="607"/>
      <c r="E42" s="607"/>
      <c r="F42" s="520"/>
      <c r="G42" s="520"/>
      <c r="H42" s="520"/>
      <c r="I42" s="520"/>
      <c r="J42" s="522">
        <f>SUM(J38:J41)</f>
        <v>0</v>
      </c>
      <c r="K42" s="11"/>
      <c r="L42" s="11"/>
    </row>
    <row r="43" spans="1:12" ht="6.75" customHeight="1" thickBot="1" x14ac:dyDescent="0.3">
      <c r="A43" s="9"/>
      <c r="B43" s="17"/>
      <c r="C43" s="9"/>
      <c r="D43" s="9"/>
      <c r="E43" s="9"/>
      <c r="F43" s="9"/>
      <c r="G43" s="9"/>
      <c r="H43" s="9"/>
      <c r="I43" s="9"/>
      <c r="J43" s="10"/>
      <c r="K43" s="9"/>
    </row>
    <row r="44" spans="1:12" ht="5.25" customHeight="1" x14ac:dyDescent="0.25">
      <c r="A44" s="139"/>
      <c r="B44" s="140"/>
      <c r="C44" s="141"/>
      <c r="D44" s="141"/>
      <c r="E44" s="141"/>
      <c r="F44" s="141"/>
      <c r="G44" s="141"/>
      <c r="H44" s="141"/>
      <c r="I44" s="141"/>
      <c r="J44" s="142"/>
      <c r="K44" s="143"/>
    </row>
    <row r="45" spans="1:12" s="29" customFormat="1" ht="24.75" customHeight="1" thickBot="1" x14ac:dyDescent="0.35">
      <c r="A45" s="24"/>
      <c r="B45" s="25" t="s">
        <v>8</v>
      </c>
      <c r="C45" s="25"/>
      <c r="D45" s="26"/>
      <c r="E45" s="26"/>
      <c r="F45" s="26"/>
      <c r="G45" s="26"/>
      <c r="H45" s="26"/>
      <c r="I45" s="26"/>
      <c r="J45" s="27">
        <f>ROUND(SUM(J12+J20+J27+J34+J42),2)</f>
        <v>0</v>
      </c>
      <c r="K45" s="28"/>
      <c r="L45" s="14"/>
    </row>
    <row r="46" spans="1:12" ht="6" customHeight="1" x14ac:dyDescent="0.25">
      <c r="A46" s="22"/>
      <c r="B46" s="17"/>
      <c r="C46" s="9"/>
      <c r="D46" s="9"/>
      <c r="E46" s="9"/>
      <c r="F46" s="9"/>
      <c r="G46" s="9"/>
      <c r="H46" s="9"/>
      <c r="I46" s="9"/>
      <c r="J46" s="16"/>
      <c r="K46" s="23"/>
    </row>
    <row r="47" spans="1:12" ht="21" customHeight="1" x14ac:dyDescent="0.25">
      <c r="A47" s="22"/>
      <c r="B47" s="30" t="s">
        <v>98</v>
      </c>
      <c r="C47" s="9"/>
      <c r="D47" s="9"/>
      <c r="E47" s="9"/>
      <c r="F47" s="9"/>
      <c r="G47" s="9"/>
      <c r="H47" s="9"/>
      <c r="I47" s="9"/>
      <c r="J47" s="144">
        <f>ROUND(+J45*0.19,2)</f>
        <v>0</v>
      </c>
      <c r="K47" s="23"/>
    </row>
    <row r="48" spans="1:12" ht="5.4" customHeight="1" x14ac:dyDescent="0.3">
      <c r="A48" s="22"/>
      <c r="B48" s="31"/>
      <c r="C48" s="9"/>
      <c r="D48" s="9"/>
      <c r="E48" s="9"/>
      <c r="F48" s="9"/>
      <c r="G48" s="9"/>
      <c r="H48" s="9"/>
      <c r="I48" s="9"/>
      <c r="J48" s="16"/>
      <c r="K48" s="23"/>
    </row>
    <row r="49" spans="1:12" ht="25.5" customHeight="1" thickBot="1" x14ac:dyDescent="0.35">
      <c r="A49" s="32"/>
      <c r="B49" s="25" t="s">
        <v>99</v>
      </c>
      <c r="C49" s="33"/>
      <c r="D49" s="34"/>
      <c r="E49" s="34"/>
      <c r="F49" s="34"/>
      <c r="G49" s="34"/>
      <c r="H49" s="34"/>
      <c r="I49" s="34"/>
      <c r="J49" s="27">
        <f>ROUND(+J45+J47,2)</f>
        <v>0</v>
      </c>
      <c r="K49" s="23"/>
    </row>
    <row r="50" spans="1:12" ht="6.75" customHeight="1" thickBot="1" x14ac:dyDescent="0.3">
      <c r="A50" s="35"/>
      <c r="B50" s="36" t="s">
        <v>0</v>
      </c>
      <c r="C50" s="36"/>
      <c r="D50" s="36"/>
      <c r="E50" s="36"/>
      <c r="F50" s="36"/>
      <c r="G50" s="36"/>
      <c r="H50" s="36"/>
      <c r="I50" s="36"/>
      <c r="J50" s="37"/>
      <c r="K50" s="38"/>
    </row>
    <row r="51" spans="1:12" x14ac:dyDescent="0.25">
      <c r="A51" s="9"/>
      <c r="B51" s="9"/>
      <c r="C51" s="9"/>
      <c r="D51" s="9"/>
      <c r="E51" s="9"/>
      <c r="F51" s="9"/>
      <c r="G51" s="9"/>
      <c r="H51" s="9"/>
      <c r="I51" s="9"/>
      <c r="J51" s="10"/>
      <c r="K51" s="9"/>
    </row>
    <row r="52" spans="1:12" ht="21.75" customHeight="1" x14ac:dyDescent="0.3">
      <c r="A52" s="25" t="s">
        <v>9</v>
      </c>
      <c r="B52" s="34"/>
      <c r="C52" s="34"/>
      <c r="D52" s="34"/>
      <c r="E52" s="34"/>
      <c r="F52" s="34"/>
      <c r="G52" s="34"/>
      <c r="H52" s="34"/>
      <c r="I52" s="34"/>
      <c r="J52" s="39" t="s">
        <v>10</v>
      </c>
      <c r="K52" s="9"/>
    </row>
    <row r="53" spans="1:12" ht="10.5" customHeight="1" x14ac:dyDescent="0.25">
      <c r="A53" s="9"/>
      <c r="B53" s="30"/>
      <c r="C53" s="9"/>
      <c r="D53" s="9"/>
      <c r="E53" s="9"/>
      <c r="F53" s="9"/>
      <c r="G53" s="9"/>
      <c r="H53" s="9"/>
      <c r="I53" s="9"/>
      <c r="J53" s="9"/>
      <c r="K53" s="9"/>
    </row>
    <row r="54" spans="1:12" ht="15" x14ac:dyDescent="0.25">
      <c r="A54" s="9"/>
      <c r="B54" s="17" t="s">
        <v>835</v>
      </c>
      <c r="C54" s="9"/>
      <c r="D54" s="9"/>
      <c r="E54" s="9"/>
      <c r="F54" s="9"/>
      <c r="G54" s="9"/>
      <c r="H54" s="9"/>
      <c r="I54" s="9"/>
      <c r="J54" s="331">
        <f>'SVS UHR'!F77</f>
        <v>0</v>
      </c>
      <c r="K54" s="30"/>
    </row>
    <row r="55" spans="1:12" ht="10.5" customHeight="1" x14ac:dyDescent="0.25">
      <c r="A55" s="9"/>
      <c r="B55" s="30"/>
      <c r="C55" s="9"/>
      <c r="D55" s="9"/>
      <c r="E55" s="9"/>
      <c r="F55" s="9"/>
      <c r="G55" s="9"/>
      <c r="H55" s="9"/>
      <c r="I55" s="9"/>
      <c r="J55" s="9"/>
      <c r="K55" s="9"/>
    </row>
    <row r="56" spans="1:12" ht="15" x14ac:dyDescent="0.25">
      <c r="A56" s="9"/>
      <c r="B56" s="17" t="s">
        <v>911</v>
      </c>
      <c r="C56" s="9"/>
      <c r="D56" s="9"/>
      <c r="E56" s="9"/>
      <c r="F56" s="9"/>
      <c r="G56" s="9"/>
      <c r="H56" s="9"/>
      <c r="I56" s="9"/>
      <c r="J56" s="331">
        <f>'SVS GR'!F77</f>
        <v>0</v>
      </c>
      <c r="K56" s="30"/>
    </row>
    <row r="57" spans="1:12" ht="8.4" customHeight="1" x14ac:dyDescent="0.25">
      <c r="A57" s="9"/>
      <c r="B57" s="17"/>
      <c r="C57" s="9"/>
      <c r="D57" s="9"/>
      <c r="E57" s="9"/>
      <c r="F57" s="9"/>
      <c r="G57" s="9"/>
      <c r="H57" s="9"/>
      <c r="I57" s="9"/>
      <c r="J57" s="421"/>
      <c r="K57" s="30"/>
    </row>
    <row r="58" spans="1:12" ht="15" x14ac:dyDescent="0.25">
      <c r="A58" s="9"/>
      <c r="B58" s="17" t="s">
        <v>844</v>
      </c>
      <c r="C58" s="9"/>
      <c r="D58" s="9"/>
      <c r="E58" s="9"/>
      <c r="F58" s="9"/>
      <c r="G58" s="9"/>
      <c r="H58" s="9"/>
      <c r="I58" s="9"/>
      <c r="J58" s="331">
        <f>'SVS Innenglas'!F77</f>
        <v>0</v>
      </c>
      <c r="K58" s="30"/>
    </row>
    <row r="59" spans="1:12" ht="5.4" customHeight="1" x14ac:dyDescent="0.25">
      <c r="A59" s="9"/>
      <c r="B59" s="9"/>
      <c r="C59" s="9"/>
      <c r="D59" s="9"/>
      <c r="E59" s="9"/>
      <c r="F59" s="9"/>
      <c r="G59" s="9"/>
      <c r="H59" s="9"/>
      <c r="I59" s="9"/>
      <c r="J59" s="421"/>
      <c r="K59" s="30"/>
    </row>
    <row r="60" spans="1:12" ht="15.6" x14ac:dyDescent="0.3">
      <c r="A60" s="25" t="s">
        <v>161</v>
      </c>
      <c r="B60" s="34"/>
      <c r="C60" s="34"/>
      <c r="D60" s="34"/>
      <c r="E60" s="34"/>
      <c r="F60" s="34"/>
      <c r="G60" s="34"/>
      <c r="H60" s="34"/>
      <c r="I60" s="34"/>
      <c r="J60" s="34"/>
      <c r="K60" s="9"/>
    </row>
    <row r="61" spans="1:12" s="45" customFormat="1" ht="31.5" customHeight="1" x14ac:dyDescent="0.3">
      <c r="A61" s="41"/>
      <c r="B61" s="42"/>
      <c r="C61" s="41"/>
      <c r="D61" s="532" t="s">
        <v>914</v>
      </c>
      <c r="E61" s="532" t="s">
        <v>915</v>
      </c>
      <c r="F61" s="41"/>
      <c r="G61" s="507" t="s">
        <v>11</v>
      </c>
      <c r="H61" s="43"/>
      <c r="I61" s="43"/>
      <c r="J61" s="508" t="s">
        <v>12</v>
      </c>
      <c r="K61" s="41"/>
      <c r="L61" s="41"/>
    </row>
    <row r="62" spans="1:12" ht="6.6" customHeight="1" x14ac:dyDescent="0.25">
      <c r="A62" s="9"/>
      <c r="B62" s="17"/>
      <c r="C62" s="9"/>
      <c r="D62" s="9"/>
      <c r="E62" s="9"/>
      <c r="F62" s="9"/>
      <c r="G62" s="9"/>
      <c r="H62" s="43"/>
      <c r="I62" s="9"/>
      <c r="J62" s="9"/>
      <c r="K62" s="9"/>
    </row>
    <row r="63" spans="1:12" ht="21.6" customHeight="1" x14ac:dyDescent="0.25">
      <c r="A63" s="9"/>
      <c r="B63" s="529" t="s">
        <v>913</v>
      </c>
      <c r="C63" s="529"/>
      <c r="D63" s="526">
        <f>'Kalk UHR GS Deisenhofen'!M6+'Kalk UHR KiGa Am Rain'!M6</f>
        <v>0</v>
      </c>
      <c r="E63" s="527">
        <f>'Kalk GR GS Deisenhofen'!N6+'Kalk GR KiGa Am Rain'!N6</f>
        <v>0</v>
      </c>
      <c r="F63" s="9"/>
      <c r="G63" s="528">
        <f>D63+E63</f>
        <v>0</v>
      </c>
      <c r="H63" s="43"/>
      <c r="I63" s="563" t="s">
        <v>357</v>
      </c>
      <c r="J63" s="46"/>
      <c r="K63" s="9"/>
    </row>
    <row r="64" spans="1:12" ht="27" customHeight="1" x14ac:dyDescent="0.25">
      <c r="A64" s="9"/>
      <c r="B64" s="9"/>
      <c r="C64" s="9"/>
      <c r="D64" s="532" t="s">
        <v>935</v>
      </c>
      <c r="E64" s="532" t="s">
        <v>936</v>
      </c>
      <c r="F64" s="9"/>
      <c r="G64" s="545"/>
      <c r="H64" s="43"/>
      <c r="I64" s="564" t="s">
        <v>979</v>
      </c>
      <c r="J64" s="546"/>
      <c r="K64" s="9"/>
    </row>
    <row r="65" spans="1:14" ht="24" customHeight="1" x14ac:dyDescent="0.25">
      <c r="A65" s="9"/>
      <c r="B65" s="17"/>
      <c r="C65" s="17" t="s">
        <v>934</v>
      </c>
      <c r="D65" s="127">
        <f>'Kalk UHR GS Deisenhofen'!G6+'Kalk UHR KiGa Am Rain'!G6</f>
        <v>11092.670000000002</v>
      </c>
      <c r="E65" s="127">
        <f>'Kalk GR GS Deisenhofen'!K6+'Kalk GR KiGa Am Rain'!K6</f>
        <v>5417.8449999999984</v>
      </c>
      <c r="F65" s="9"/>
      <c r="G65" s="9"/>
      <c r="H65" s="43"/>
      <c r="I65" s="9"/>
      <c r="J65" s="9"/>
      <c r="K65" s="9"/>
    </row>
    <row r="66" spans="1:14" ht="9.6" customHeight="1" x14ac:dyDescent="0.25">
      <c r="A66" s="9"/>
      <c r="B66" s="17"/>
      <c r="C66" s="9"/>
      <c r="D66" s="181"/>
      <c r="E66" s="9"/>
      <c r="F66" s="9"/>
      <c r="G66" s="9"/>
      <c r="H66" s="43"/>
      <c r="I66" s="9"/>
      <c r="J66" s="9"/>
      <c r="K66" s="9"/>
    </row>
    <row r="67" spans="1:14" s="1" customFormat="1" ht="27.6" customHeight="1" x14ac:dyDescent="0.25">
      <c r="B67" s="530" t="s">
        <v>830</v>
      </c>
      <c r="C67" s="530"/>
      <c r="D67" s="17"/>
      <c r="E67" s="17"/>
      <c r="F67" s="403"/>
      <c r="G67" s="404" t="s">
        <v>355</v>
      </c>
      <c r="H67" s="404" t="s">
        <v>356</v>
      </c>
      <c r="J67" s="508" t="s">
        <v>12</v>
      </c>
    </row>
    <row r="68" spans="1:14" s="1" customFormat="1" ht="17.399999999999999" customHeight="1" x14ac:dyDescent="0.25">
      <c r="B68" s="403"/>
      <c r="D68" s="17"/>
      <c r="E68" s="17"/>
      <c r="G68" s="406" t="s">
        <v>357</v>
      </c>
      <c r="H68" s="406" t="s">
        <v>357</v>
      </c>
      <c r="J68" s="405"/>
    </row>
    <row r="69" spans="1:14" s="1" customFormat="1" ht="25.2" customHeight="1" x14ac:dyDescent="0.25">
      <c r="B69" s="403" t="s">
        <v>982</v>
      </c>
      <c r="D69" s="17"/>
      <c r="E69" s="17"/>
      <c r="G69" s="407"/>
      <c r="H69" s="408"/>
      <c r="I69" s="565" t="s">
        <v>980</v>
      </c>
      <c r="J69" s="46"/>
    </row>
    <row r="70" spans="1:14" s="1" customFormat="1" ht="24" customHeight="1" x14ac:dyDescent="0.25">
      <c r="B70" s="403" t="s">
        <v>983</v>
      </c>
      <c r="D70" s="17"/>
      <c r="E70" s="17"/>
      <c r="G70" s="407"/>
      <c r="H70" s="408"/>
      <c r="I70" s="565" t="s">
        <v>981</v>
      </c>
      <c r="J70" s="46"/>
    </row>
    <row r="71" spans="1:14" ht="10.95" customHeight="1" x14ac:dyDescent="0.25">
      <c r="A71" s="9"/>
      <c r="B71" s="17"/>
      <c r="C71" s="9"/>
      <c r="D71" s="17"/>
      <c r="E71" s="9"/>
      <c r="F71" s="9"/>
      <c r="G71" s="9"/>
      <c r="H71" s="9"/>
      <c r="I71" s="9"/>
      <c r="J71" s="9"/>
      <c r="K71" s="9"/>
      <c r="L71" s="1"/>
      <c r="M71" s="1"/>
      <c r="N71" s="1"/>
    </row>
    <row r="72" spans="1:14" ht="11.25" customHeight="1" x14ac:dyDescent="0.3">
      <c r="A72" s="47"/>
      <c r="B72" s="48"/>
      <c r="C72" s="48"/>
      <c r="D72" s="48"/>
      <c r="E72" s="48"/>
      <c r="F72" s="48"/>
      <c r="G72" s="48"/>
      <c r="H72" s="48"/>
      <c r="I72" s="48"/>
      <c r="J72" s="49"/>
      <c r="K72" s="9"/>
      <c r="L72" s="1"/>
      <c r="M72" s="1"/>
      <c r="N72" s="1"/>
    </row>
    <row r="73" spans="1:14" ht="13.8" x14ac:dyDescent="0.25">
      <c r="A73" s="9"/>
      <c r="B73" s="17"/>
      <c r="C73" s="9"/>
      <c r="D73" s="9"/>
      <c r="E73" s="9"/>
      <c r="F73" s="9"/>
      <c r="G73" s="9"/>
      <c r="H73" s="9"/>
      <c r="I73" s="9"/>
      <c r="J73" s="10"/>
      <c r="K73" s="9"/>
      <c r="L73" s="1"/>
      <c r="M73" s="1"/>
      <c r="N73" s="1"/>
    </row>
    <row r="74" spans="1:14" ht="13.8" x14ac:dyDescent="0.25">
      <c r="A74" s="9"/>
      <c r="B74" s="17"/>
      <c r="C74" s="9"/>
      <c r="D74" s="9"/>
      <c r="E74" s="9"/>
      <c r="F74" s="9"/>
      <c r="G74" s="9"/>
      <c r="H74" s="9"/>
      <c r="I74" s="9"/>
      <c r="J74" s="10"/>
      <c r="K74" s="9"/>
    </row>
    <row r="75" spans="1:14" ht="13.8" x14ac:dyDescent="0.25">
      <c r="A75" s="9"/>
      <c r="B75" s="17"/>
      <c r="C75" s="9"/>
      <c r="D75" s="9"/>
      <c r="E75" s="9"/>
      <c r="F75" s="9"/>
      <c r="G75" s="9"/>
      <c r="H75" s="9"/>
      <c r="I75" s="9"/>
      <c r="J75" s="10"/>
      <c r="K75" s="9"/>
    </row>
    <row r="76" spans="1:14" ht="13.8" x14ac:dyDescent="0.25">
      <c r="B76" s="20"/>
    </row>
    <row r="77" spans="1:14" ht="13.8" x14ac:dyDescent="0.25">
      <c r="B77" s="20"/>
    </row>
    <row r="78" spans="1:14" ht="13.8" x14ac:dyDescent="0.25">
      <c r="B78" s="20"/>
    </row>
    <row r="79" spans="1:14" ht="13.8" x14ac:dyDescent="0.25">
      <c r="B79" s="20"/>
      <c r="J79" s="8"/>
    </row>
    <row r="80" spans="1:14" ht="13.8" x14ac:dyDescent="0.25">
      <c r="B80" s="20"/>
      <c r="J80" s="8"/>
    </row>
    <row r="81" spans="2:10" ht="13.8" x14ac:dyDescent="0.25">
      <c r="B81" s="20"/>
      <c r="J81" s="8"/>
    </row>
    <row r="82" spans="2:10" ht="13.8" x14ac:dyDescent="0.25">
      <c r="B82" s="20"/>
      <c r="J82" s="8"/>
    </row>
    <row r="83" spans="2:10" ht="13.8" x14ac:dyDescent="0.25">
      <c r="B83" s="20"/>
      <c r="J83" s="8"/>
    </row>
    <row r="84" spans="2:10" ht="13.8" x14ac:dyDescent="0.25">
      <c r="B84" s="20"/>
      <c r="J84" s="8"/>
    </row>
    <row r="85" spans="2:10" ht="13.8" x14ac:dyDescent="0.25">
      <c r="B85" s="20"/>
      <c r="J85" s="8"/>
    </row>
    <row r="86" spans="2:10" ht="13.8" x14ac:dyDescent="0.25">
      <c r="B86" s="20"/>
      <c r="J86" s="8"/>
    </row>
    <row r="87" spans="2:10" ht="13.8" x14ac:dyDescent="0.25">
      <c r="B87" s="20"/>
      <c r="J87" s="8"/>
    </row>
    <row r="88" spans="2:10" ht="13.8" x14ac:dyDescent="0.25">
      <c r="B88" s="20"/>
      <c r="J88" s="8"/>
    </row>
    <row r="89" spans="2:10" ht="13.8" x14ac:dyDescent="0.25">
      <c r="B89" s="20"/>
      <c r="J89" s="8"/>
    </row>
    <row r="90" spans="2:10" ht="13.8" x14ac:dyDescent="0.25">
      <c r="B90" s="20"/>
      <c r="J90" s="8"/>
    </row>
    <row r="91" spans="2:10" ht="13.8" x14ac:dyDescent="0.25">
      <c r="B91" s="20"/>
      <c r="J91" s="8"/>
    </row>
    <row r="92" spans="2:10" ht="13.8" x14ac:dyDescent="0.25">
      <c r="B92" s="20"/>
      <c r="J92" s="8"/>
    </row>
    <row r="93" spans="2:10" ht="13.8" x14ac:dyDescent="0.25">
      <c r="B93" s="20"/>
      <c r="J93" s="8"/>
    </row>
    <row r="94" spans="2:10" ht="13.8" x14ac:dyDescent="0.25">
      <c r="B94" s="20"/>
      <c r="J94" s="8"/>
    </row>
    <row r="95" spans="2:10" ht="13.8" x14ac:dyDescent="0.25">
      <c r="B95" s="20"/>
      <c r="J95" s="8"/>
    </row>
    <row r="96" spans="2:10" ht="13.8" x14ac:dyDescent="0.25">
      <c r="B96" s="20"/>
      <c r="J96" s="8"/>
    </row>
    <row r="97" spans="2:10" ht="13.8" x14ac:dyDescent="0.25">
      <c r="B97" s="20"/>
      <c r="J97" s="8"/>
    </row>
    <row r="98" spans="2:10" ht="13.8" x14ac:dyDescent="0.25">
      <c r="B98" s="20"/>
      <c r="J98" s="8"/>
    </row>
    <row r="99" spans="2:10" ht="13.8" x14ac:dyDescent="0.25">
      <c r="B99" s="20"/>
      <c r="J99" s="8"/>
    </row>
    <row r="100" spans="2:10" ht="13.8" x14ac:dyDescent="0.25">
      <c r="B100" s="20"/>
      <c r="J100" s="8"/>
    </row>
    <row r="101" spans="2:10" ht="13.8" x14ac:dyDescent="0.25">
      <c r="B101" s="20"/>
      <c r="J101" s="8"/>
    </row>
    <row r="102" spans="2:10" ht="13.8" x14ac:dyDescent="0.25">
      <c r="B102" s="20"/>
      <c r="J102" s="8"/>
    </row>
    <row r="103" spans="2:10" ht="13.8" x14ac:dyDescent="0.25">
      <c r="B103" s="20"/>
      <c r="J103" s="8"/>
    </row>
    <row r="104" spans="2:10" ht="13.8" x14ac:dyDescent="0.25">
      <c r="B104" s="20"/>
      <c r="J104" s="8"/>
    </row>
    <row r="105" spans="2:10" ht="13.8" x14ac:dyDescent="0.25">
      <c r="B105" s="20"/>
      <c r="J105" s="8"/>
    </row>
    <row r="106" spans="2:10" ht="13.8" x14ac:dyDescent="0.25">
      <c r="B106" s="20"/>
      <c r="J106" s="8"/>
    </row>
    <row r="107" spans="2:10" ht="13.8" x14ac:dyDescent="0.25">
      <c r="B107" s="20"/>
      <c r="J107" s="8"/>
    </row>
    <row r="108" spans="2:10" ht="13.8" x14ac:dyDescent="0.25">
      <c r="B108" s="20"/>
      <c r="J108" s="8"/>
    </row>
    <row r="109" spans="2:10" ht="13.8" x14ac:dyDescent="0.25">
      <c r="B109" s="20"/>
      <c r="J109" s="8"/>
    </row>
    <row r="110" spans="2:10" ht="13.8" x14ac:dyDescent="0.25">
      <c r="B110" s="20"/>
      <c r="J110" s="8"/>
    </row>
    <row r="111" spans="2:10" ht="13.8" x14ac:dyDescent="0.25">
      <c r="B111" s="20"/>
      <c r="J111" s="8"/>
    </row>
    <row r="112" spans="2:10" ht="13.8" x14ac:dyDescent="0.25">
      <c r="B112" s="20"/>
      <c r="J112" s="8"/>
    </row>
    <row r="113" spans="2:10" ht="13.8" x14ac:dyDescent="0.25">
      <c r="B113" s="20"/>
      <c r="J113" s="8"/>
    </row>
    <row r="114" spans="2:10" ht="13.8" x14ac:dyDescent="0.25">
      <c r="B114" s="20"/>
      <c r="J114" s="8"/>
    </row>
    <row r="115" spans="2:10" ht="13.8" x14ac:dyDescent="0.25">
      <c r="B115" s="20"/>
      <c r="J115" s="8"/>
    </row>
    <row r="116" spans="2:10" ht="13.8" x14ac:dyDescent="0.25">
      <c r="B116" s="20"/>
      <c r="J116" s="8"/>
    </row>
    <row r="117" spans="2:10" ht="13.8" x14ac:dyDescent="0.25">
      <c r="B117" s="20"/>
      <c r="J117" s="8"/>
    </row>
    <row r="118" spans="2:10" ht="13.8" x14ac:dyDescent="0.25">
      <c r="B118" s="20"/>
      <c r="J118" s="8"/>
    </row>
    <row r="119" spans="2:10" ht="13.8" x14ac:dyDescent="0.25">
      <c r="B119" s="20"/>
      <c r="J119" s="8"/>
    </row>
    <row r="120" spans="2:10" ht="13.8" x14ac:dyDescent="0.25">
      <c r="B120" s="20"/>
      <c r="J120" s="8"/>
    </row>
    <row r="121" spans="2:10" ht="13.8" x14ac:dyDescent="0.25">
      <c r="B121" s="20"/>
      <c r="J121" s="8"/>
    </row>
    <row r="122" spans="2:10" ht="13.8" x14ac:dyDescent="0.25">
      <c r="B122" s="20"/>
      <c r="J122" s="8"/>
    </row>
    <row r="123" spans="2:10" ht="13.8" x14ac:dyDescent="0.25">
      <c r="B123" s="20"/>
      <c r="J123" s="8"/>
    </row>
    <row r="124" spans="2:10" ht="13.8" x14ac:dyDescent="0.25">
      <c r="B124" s="20"/>
      <c r="J124" s="8"/>
    </row>
    <row r="125" spans="2:10" ht="13.8" x14ac:dyDescent="0.25">
      <c r="B125" s="20"/>
      <c r="J125" s="8"/>
    </row>
    <row r="126" spans="2:10" ht="13.8" x14ac:dyDescent="0.25">
      <c r="B126" s="20"/>
      <c r="J126" s="8"/>
    </row>
    <row r="127" spans="2:10" ht="13.8" x14ac:dyDescent="0.25">
      <c r="B127" s="20"/>
      <c r="J127" s="8"/>
    </row>
    <row r="128" spans="2:10" ht="13.8" x14ac:dyDescent="0.25">
      <c r="B128" s="20"/>
      <c r="J128" s="8"/>
    </row>
    <row r="129" spans="2:10" ht="13.8" x14ac:dyDescent="0.25">
      <c r="B129" s="20"/>
      <c r="J129" s="8"/>
    </row>
    <row r="130" spans="2:10" ht="13.8" x14ac:dyDescent="0.25">
      <c r="B130" s="20"/>
      <c r="J130" s="8"/>
    </row>
    <row r="131" spans="2:10" ht="13.8" x14ac:dyDescent="0.25">
      <c r="B131" s="20"/>
      <c r="J131" s="8"/>
    </row>
    <row r="132" spans="2:10" ht="13.8" x14ac:dyDescent="0.25">
      <c r="B132" s="20"/>
      <c r="J132" s="8"/>
    </row>
    <row r="133" spans="2:10" ht="13.8" x14ac:dyDescent="0.25">
      <c r="B133" s="20"/>
      <c r="J133" s="8"/>
    </row>
    <row r="134" spans="2:10" ht="13.8" x14ac:dyDescent="0.25">
      <c r="B134" s="20"/>
      <c r="J134" s="8"/>
    </row>
    <row r="135" spans="2:10" ht="13.8" x14ac:dyDescent="0.25">
      <c r="B135" s="20"/>
      <c r="J135" s="8"/>
    </row>
    <row r="136" spans="2:10" ht="13.8" x14ac:dyDescent="0.25">
      <c r="B136" s="20"/>
      <c r="J136" s="8"/>
    </row>
    <row r="137" spans="2:10" ht="13.8" x14ac:dyDescent="0.25">
      <c r="B137" s="20"/>
      <c r="J137" s="8"/>
    </row>
    <row r="138" spans="2:10" ht="13.8" x14ac:dyDescent="0.25">
      <c r="B138" s="20"/>
      <c r="J138" s="8"/>
    </row>
    <row r="139" spans="2:10" ht="13.8" x14ac:dyDescent="0.25">
      <c r="B139" s="20"/>
      <c r="J139" s="8"/>
    </row>
    <row r="140" spans="2:10" ht="13.8" x14ac:dyDescent="0.25">
      <c r="B140" s="20"/>
      <c r="J140" s="8"/>
    </row>
    <row r="141" spans="2:10" ht="13.8" x14ac:dyDescent="0.25">
      <c r="B141" s="20"/>
      <c r="J141" s="8"/>
    </row>
    <row r="142" spans="2:10" ht="13.8" x14ac:dyDescent="0.25">
      <c r="B142" s="20"/>
      <c r="J142" s="8"/>
    </row>
    <row r="143" spans="2:10" ht="13.8" x14ac:dyDescent="0.25">
      <c r="B143" s="20"/>
      <c r="J143" s="8"/>
    </row>
    <row r="144" spans="2:10" ht="13.8" x14ac:dyDescent="0.25">
      <c r="B144" s="20"/>
      <c r="J144" s="8"/>
    </row>
    <row r="145" spans="2:10" ht="13.8" x14ac:dyDescent="0.25">
      <c r="B145" s="20"/>
      <c r="J145" s="8"/>
    </row>
    <row r="146" spans="2:10" ht="13.8" x14ac:dyDescent="0.25">
      <c r="B146" s="20"/>
      <c r="J146" s="8"/>
    </row>
    <row r="147" spans="2:10" ht="13.8" x14ac:dyDescent="0.25">
      <c r="B147" s="20"/>
      <c r="J147" s="8"/>
    </row>
    <row r="148" spans="2:10" ht="13.8" x14ac:dyDescent="0.25">
      <c r="B148" s="20"/>
      <c r="J148" s="8"/>
    </row>
    <row r="149" spans="2:10" ht="13.8" x14ac:dyDescent="0.25">
      <c r="B149" s="20"/>
      <c r="J149" s="8"/>
    </row>
    <row r="150" spans="2:10" ht="13.8" x14ac:dyDescent="0.25">
      <c r="B150" s="20"/>
      <c r="J150" s="8"/>
    </row>
    <row r="151" spans="2:10" ht="13.8" x14ac:dyDescent="0.25">
      <c r="B151" s="20"/>
      <c r="J151" s="8"/>
    </row>
    <row r="152" spans="2:10" ht="13.8" x14ac:dyDescent="0.25">
      <c r="B152" s="20"/>
      <c r="J152" s="8"/>
    </row>
    <row r="153" spans="2:10" ht="13.8" x14ac:dyDescent="0.25">
      <c r="B153" s="20"/>
      <c r="J153" s="8"/>
    </row>
    <row r="154" spans="2:10" ht="13.8" x14ac:dyDescent="0.25">
      <c r="B154" s="20"/>
      <c r="J154" s="8"/>
    </row>
    <row r="155" spans="2:10" ht="13.8" x14ac:dyDescent="0.25">
      <c r="B155" s="20"/>
      <c r="J155" s="8"/>
    </row>
    <row r="156" spans="2:10" ht="13.8" x14ac:dyDescent="0.25">
      <c r="B156" s="20"/>
      <c r="J156" s="8"/>
    </row>
    <row r="157" spans="2:10" ht="13.8" x14ac:dyDescent="0.25">
      <c r="B157" s="20"/>
      <c r="J157" s="8"/>
    </row>
    <row r="158" spans="2:10" ht="13.8" x14ac:dyDescent="0.25">
      <c r="B158" s="20"/>
      <c r="J158" s="8"/>
    </row>
    <row r="159" spans="2:10" ht="13.8" x14ac:dyDescent="0.25">
      <c r="B159" s="20"/>
      <c r="J159" s="8"/>
    </row>
  </sheetData>
  <sheetProtection selectLockedCells="1"/>
  <mergeCells count="28">
    <mergeCell ref="G9:H10"/>
    <mergeCell ref="A14:D14"/>
    <mergeCell ref="D20:E20"/>
    <mergeCell ref="F20:G20"/>
    <mergeCell ref="H20:I20"/>
    <mergeCell ref="D12:E12"/>
    <mergeCell ref="G12:H12"/>
    <mergeCell ref="A1:K1"/>
    <mergeCell ref="C3:E3"/>
    <mergeCell ref="C5:E5"/>
    <mergeCell ref="I5:K5"/>
    <mergeCell ref="A7:D7"/>
    <mergeCell ref="G7:H7"/>
    <mergeCell ref="G22:H22"/>
    <mergeCell ref="G29:H29"/>
    <mergeCell ref="H34:I34"/>
    <mergeCell ref="D42:E42"/>
    <mergeCell ref="A36:C36"/>
    <mergeCell ref="B40:D40"/>
    <mergeCell ref="D27:E27"/>
    <mergeCell ref="F27:G27"/>
    <mergeCell ref="A29:D29"/>
    <mergeCell ref="D34:E34"/>
    <mergeCell ref="F34:G34"/>
    <mergeCell ref="H27:I27"/>
    <mergeCell ref="G24:H25"/>
    <mergeCell ref="G31:H32"/>
    <mergeCell ref="A22:D22"/>
  </mergeCells>
  <pageMargins left="0.39370078740157483" right="0.39370078740157483" top="0.55046296296296293" bottom="0.59055118110236227" header="0.27559055118110237" footer="0.35433070866141736"/>
  <pageSetup paperSize="9" scale="81" fitToHeight="0" orientation="portrait" r:id="rId1"/>
  <headerFooter alignWithMargins="0">
    <oddHeader>&amp;CAusschreibung Reinigung Gemeinde Oberhaching 2026</oddHeader>
    <oddFooter>&amp;RSeite &amp;P von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38ACE-556E-4788-8FA7-40747BCA84D4}">
  <sheetPr codeName="Tabelle41"/>
  <dimension ref="A1:M77"/>
  <sheetViews>
    <sheetView showGridLines="0" zoomScale="80" zoomScaleNormal="80" zoomScalePageLayoutView="70" workbookViewId="0">
      <selection activeCell="A2" sqref="A2"/>
    </sheetView>
  </sheetViews>
  <sheetFormatPr baseColWidth="10" defaultColWidth="11.33203125" defaultRowHeight="13.2" x14ac:dyDescent="0.25"/>
  <cols>
    <col min="1" max="1" width="35.5546875" style="1" customWidth="1"/>
    <col min="2" max="2" width="4.6640625" style="1" customWidth="1"/>
    <col min="3" max="3" width="7.109375" style="1" bestFit="1" customWidth="1"/>
    <col min="4" max="4" width="12.6640625" style="1" customWidth="1"/>
    <col min="5" max="5" width="9.44140625" style="1" bestFit="1" customWidth="1"/>
    <col min="6" max="6" width="10" style="1" customWidth="1"/>
    <col min="7" max="7" width="9.88671875" style="1" customWidth="1"/>
    <col min="8" max="12" width="9.44140625" style="1" bestFit="1" customWidth="1"/>
    <col min="13" max="16384" width="11.33203125" style="1"/>
  </cols>
  <sheetData>
    <row r="1" spans="1:13" ht="21" x14ac:dyDescent="0.25">
      <c r="A1" s="601" t="s">
        <v>162</v>
      </c>
      <c r="B1" s="601"/>
      <c r="C1" s="601"/>
      <c r="D1" s="601"/>
      <c r="E1" s="601"/>
      <c r="F1" s="601"/>
      <c r="G1" s="601"/>
      <c r="H1" s="601"/>
      <c r="I1" s="601"/>
      <c r="J1" s="601"/>
      <c r="K1" s="601"/>
      <c r="L1" s="601"/>
    </row>
    <row r="2" spans="1:13" ht="15.6" thickBot="1" x14ac:dyDescent="0.3">
      <c r="A2" s="2"/>
      <c r="B2" s="108"/>
      <c r="C2" s="2"/>
      <c r="D2" s="108"/>
      <c r="E2" s="109"/>
      <c r="F2" s="109"/>
      <c r="G2" s="109"/>
      <c r="H2" s="109"/>
      <c r="I2" s="109"/>
      <c r="J2" s="109"/>
      <c r="K2" s="109"/>
      <c r="L2" s="109"/>
    </row>
    <row r="3" spans="1:13" ht="16.2" thickBot="1" x14ac:dyDescent="0.35">
      <c r="A3" s="2"/>
      <c r="B3" s="110"/>
      <c r="C3" s="111"/>
      <c r="D3" s="108"/>
      <c r="E3" s="668" t="s">
        <v>94</v>
      </c>
      <c r="F3" s="669"/>
      <c r="G3" s="669"/>
      <c r="H3" s="669"/>
      <c r="I3" s="669"/>
      <c r="J3" s="669"/>
      <c r="K3" s="669"/>
      <c r="L3" s="670"/>
    </row>
    <row r="4" spans="1:13" ht="16.2" thickBot="1" x14ac:dyDescent="0.3">
      <c r="A4" s="112"/>
      <c r="B4" s="112"/>
      <c r="C4" s="112"/>
      <c r="D4" s="112"/>
      <c r="E4" s="113">
        <v>7</v>
      </c>
      <c r="F4" s="114">
        <v>6</v>
      </c>
      <c r="G4" s="114">
        <v>5</v>
      </c>
      <c r="H4" s="114">
        <v>4</v>
      </c>
      <c r="I4" s="114">
        <v>3</v>
      </c>
      <c r="J4" s="114">
        <v>2.5</v>
      </c>
      <c r="K4" s="114">
        <v>2</v>
      </c>
      <c r="L4" s="115">
        <v>1</v>
      </c>
    </row>
    <row r="5" spans="1:13" ht="15.6" x14ac:dyDescent="0.3">
      <c r="A5" s="671" t="s">
        <v>83</v>
      </c>
      <c r="B5" s="672"/>
      <c r="C5" s="116"/>
      <c r="D5" s="108"/>
      <c r="E5" s="117">
        <v>365.25</v>
      </c>
      <c r="F5" s="117">
        <v>365.25</v>
      </c>
      <c r="G5" s="117">
        <v>365.25</v>
      </c>
      <c r="H5" s="117">
        <v>365.25</v>
      </c>
      <c r="I5" s="117">
        <v>365.25</v>
      </c>
      <c r="J5" s="117">
        <v>365.25</v>
      </c>
      <c r="K5" s="117">
        <v>365.25</v>
      </c>
      <c r="L5" s="117">
        <v>365.25</v>
      </c>
    </row>
    <row r="6" spans="1:13" ht="15" x14ac:dyDescent="0.25">
      <c r="A6" s="673" t="s">
        <v>84</v>
      </c>
      <c r="B6" s="673"/>
      <c r="C6" s="673"/>
      <c r="D6" s="108"/>
      <c r="E6" s="118"/>
      <c r="F6" s="118">
        <f t="shared" ref="F6:L6" si="0">F5/7</f>
        <v>52.178571428571431</v>
      </c>
      <c r="G6" s="118">
        <f t="shared" si="0"/>
        <v>52.178571428571431</v>
      </c>
      <c r="H6" s="118">
        <f t="shared" si="0"/>
        <v>52.178571428571431</v>
      </c>
      <c r="I6" s="118">
        <f t="shared" si="0"/>
        <v>52.178571428571431</v>
      </c>
      <c r="J6" s="118">
        <f t="shared" si="0"/>
        <v>52.178571428571431</v>
      </c>
      <c r="K6" s="118">
        <f t="shared" si="0"/>
        <v>52.178571428571431</v>
      </c>
      <c r="L6" s="118">
        <f t="shared" si="0"/>
        <v>52.178571428571431</v>
      </c>
    </row>
    <row r="7" spans="1:13" ht="15" x14ac:dyDescent="0.25">
      <c r="A7" s="122"/>
      <c r="B7" s="122"/>
      <c r="C7" s="122"/>
      <c r="D7" s="108"/>
      <c r="E7" s="118"/>
      <c r="F7" s="118"/>
      <c r="G7" s="118"/>
      <c r="H7" s="118"/>
      <c r="I7" s="118"/>
      <c r="J7" s="118"/>
      <c r="K7" s="118"/>
      <c r="L7" s="118"/>
    </row>
    <row r="8" spans="1:13" ht="15.6" x14ac:dyDescent="0.3">
      <c r="A8" s="120" t="s">
        <v>85</v>
      </c>
      <c r="B8" s="108"/>
      <c r="C8" s="2"/>
      <c r="D8" s="108"/>
      <c r="E8" s="118"/>
      <c r="F8" s="118"/>
      <c r="G8" s="118"/>
      <c r="H8" s="118"/>
      <c r="I8" s="118"/>
      <c r="J8" s="119"/>
      <c r="K8" s="119"/>
      <c r="L8" s="119"/>
    </row>
    <row r="9" spans="1:13" ht="15.6" x14ac:dyDescent="0.3">
      <c r="A9" s="2"/>
      <c r="B9" s="110"/>
      <c r="C9" s="120"/>
      <c r="D9" s="108"/>
      <c r="E9" s="121"/>
      <c r="F9" s="118">
        <f>$A$12</f>
        <v>5</v>
      </c>
      <c r="G9" s="118">
        <f>$A$12</f>
        <v>5</v>
      </c>
      <c r="H9" s="118"/>
      <c r="I9" s="118"/>
      <c r="J9" s="119"/>
      <c r="K9" s="119"/>
      <c r="L9" s="119"/>
    </row>
    <row r="10" spans="1:13" ht="15" x14ac:dyDescent="0.25">
      <c r="A10" s="122"/>
      <c r="B10" s="108"/>
      <c r="C10" s="122"/>
      <c r="D10" s="108"/>
      <c r="E10" s="121"/>
      <c r="F10" s="118"/>
      <c r="G10" s="118"/>
      <c r="H10" s="118"/>
      <c r="I10" s="118"/>
      <c r="J10" s="119"/>
      <c r="K10" s="119"/>
      <c r="L10" s="119"/>
    </row>
    <row r="11" spans="1:13" ht="15" x14ac:dyDescent="0.25">
      <c r="A11" s="122"/>
      <c r="B11" s="108"/>
      <c r="C11" s="122"/>
      <c r="D11" s="108"/>
      <c r="E11" s="121"/>
      <c r="F11" s="118"/>
      <c r="G11" s="118"/>
      <c r="H11" s="118"/>
      <c r="I11" s="118"/>
      <c r="J11" s="119"/>
      <c r="K11" s="119"/>
      <c r="L11" s="119"/>
    </row>
    <row r="12" spans="1:13" ht="15" x14ac:dyDescent="0.25">
      <c r="A12" s="123">
        <v>5</v>
      </c>
      <c r="B12" s="124" t="s">
        <v>20</v>
      </c>
      <c r="C12" s="124">
        <f>H4</f>
        <v>4</v>
      </c>
      <c r="D12" s="108" t="s">
        <v>86</v>
      </c>
      <c r="E12" s="119"/>
      <c r="F12" s="118"/>
      <c r="G12" s="118"/>
      <c r="H12" s="118">
        <f>A12*C12/B13</f>
        <v>4</v>
      </c>
      <c r="I12" s="118"/>
      <c r="J12" s="119"/>
      <c r="K12" s="119"/>
      <c r="L12" s="119"/>
    </row>
    <row r="13" spans="1:13" ht="15" x14ac:dyDescent="0.25">
      <c r="A13" s="116"/>
      <c r="B13" s="108">
        <v>5</v>
      </c>
      <c r="C13" s="116"/>
      <c r="D13" s="108"/>
      <c r="E13" s="118"/>
      <c r="F13" s="118"/>
      <c r="G13" s="118"/>
      <c r="H13" s="118"/>
      <c r="I13" s="119"/>
      <c r="J13" s="119"/>
      <c r="K13" s="119"/>
      <c r="L13" s="119"/>
    </row>
    <row r="14" spans="1:13" ht="15" x14ac:dyDescent="0.25">
      <c r="A14" s="116"/>
      <c r="B14" s="108"/>
      <c r="C14" s="116"/>
      <c r="D14" s="108"/>
      <c r="E14" s="118"/>
      <c r="F14" s="118"/>
      <c r="G14" s="118"/>
      <c r="H14" s="118"/>
      <c r="I14" s="118"/>
      <c r="J14" s="119"/>
      <c r="K14" s="119"/>
      <c r="L14" s="119"/>
    </row>
    <row r="15" spans="1:13" ht="15" x14ac:dyDescent="0.25">
      <c r="A15" s="124">
        <f>$A$12</f>
        <v>5</v>
      </c>
      <c r="B15" s="124" t="s">
        <v>20</v>
      </c>
      <c r="C15" s="124">
        <f>I4</f>
        <v>3</v>
      </c>
      <c r="D15" s="108" t="s">
        <v>86</v>
      </c>
      <c r="E15" s="119"/>
      <c r="F15" s="118"/>
      <c r="G15" s="118"/>
      <c r="H15" s="118"/>
      <c r="I15" s="332">
        <f>A15*C15/B16</f>
        <v>3</v>
      </c>
      <c r="J15" s="119"/>
      <c r="K15" s="119"/>
      <c r="L15" s="119"/>
      <c r="M15" s="1" t="s">
        <v>289</v>
      </c>
    </row>
    <row r="16" spans="1:13" ht="15" x14ac:dyDescent="0.25">
      <c r="A16" s="108"/>
      <c r="B16" s="108">
        <v>5</v>
      </c>
      <c r="C16" s="108"/>
      <c r="D16" s="108"/>
      <c r="E16" s="118"/>
      <c r="F16" s="118"/>
      <c r="G16" s="118"/>
      <c r="H16" s="118"/>
      <c r="I16" s="119"/>
      <c r="J16" s="119"/>
      <c r="K16" s="119"/>
      <c r="L16" s="119"/>
    </row>
    <row r="17" spans="1:13" ht="15" x14ac:dyDescent="0.25">
      <c r="A17" s="108"/>
      <c r="B17" s="108"/>
      <c r="C17" s="108"/>
      <c r="D17" s="108"/>
      <c r="E17" s="118"/>
      <c r="F17" s="118"/>
      <c r="G17" s="118"/>
      <c r="H17" s="118"/>
      <c r="I17" s="118"/>
      <c r="J17" s="119"/>
      <c r="K17" s="119"/>
      <c r="L17" s="119"/>
    </row>
    <row r="18" spans="1:13" ht="15" x14ac:dyDescent="0.25">
      <c r="A18" s="124">
        <f>$A$12</f>
        <v>5</v>
      </c>
      <c r="B18" s="124" t="s">
        <v>20</v>
      </c>
      <c r="C18" s="124">
        <f>J4</f>
        <v>2.5</v>
      </c>
      <c r="D18" s="108" t="s">
        <v>86</v>
      </c>
      <c r="E18" s="119"/>
      <c r="F18" s="118"/>
      <c r="G18" s="118"/>
      <c r="H18" s="118"/>
      <c r="I18" s="118"/>
      <c r="J18" s="333">
        <f>A18*C18/B19</f>
        <v>2.5</v>
      </c>
      <c r="K18" s="119"/>
      <c r="L18" s="119"/>
      <c r="M18" s="1" t="s">
        <v>289</v>
      </c>
    </row>
    <row r="19" spans="1:13" ht="15" x14ac:dyDescent="0.25">
      <c r="A19" s="108"/>
      <c r="B19" s="108">
        <v>5</v>
      </c>
      <c r="C19" s="108"/>
      <c r="D19" s="108"/>
      <c r="E19" s="118"/>
      <c r="F19" s="118"/>
      <c r="G19" s="118"/>
      <c r="H19" s="118"/>
      <c r="I19" s="118"/>
      <c r="J19" s="119"/>
      <c r="K19" s="119"/>
      <c r="L19" s="119"/>
    </row>
    <row r="20" spans="1:13" ht="15" x14ac:dyDescent="0.25">
      <c r="A20" s="116"/>
      <c r="B20" s="108"/>
      <c r="C20" s="116"/>
      <c r="D20" s="108"/>
      <c r="E20" s="118"/>
      <c r="F20" s="118"/>
      <c r="G20" s="118"/>
      <c r="H20" s="118"/>
      <c r="I20" s="118"/>
      <c r="J20" s="119"/>
      <c r="K20" s="119"/>
      <c r="L20" s="119"/>
    </row>
    <row r="21" spans="1:13" ht="15.6" x14ac:dyDescent="0.3">
      <c r="A21" s="674" t="s">
        <v>87</v>
      </c>
      <c r="B21" s="674"/>
      <c r="C21" s="674"/>
      <c r="D21" s="110"/>
      <c r="E21" s="118"/>
      <c r="F21" s="118"/>
      <c r="G21" s="118"/>
      <c r="H21" s="118"/>
      <c r="I21" s="118"/>
      <c r="J21" s="119"/>
      <c r="K21" s="119"/>
      <c r="L21" s="119"/>
    </row>
    <row r="22" spans="1:13" ht="15" x14ac:dyDescent="0.25">
      <c r="A22" s="334">
        <v>8</v>
      </c>
      <c r="B22" s="335" t="s">
        <v>20</v>
      </c>
      <c r="C22" s="335">
        <v>7</v>
      </c>
      <c r="D22" s="336" t="s">
        <v>86</v>
      </c>
      <c r="E22" s="337">
        <f>A22*C22/B23</f>
        <v>8</v>
      </c>
      <c r="F22" s="337"/>
      <c r="G22" s="337"/>
      <c r="H22" s="337"/>
      <c r="I22" s="337"/>
      <c r="J22" s="338"/>
      <c r="K22" s="338"/>
      <c r="L22" s="338"/>
    </row>
    <row r="23" spans="1:13" ht="15" x14ac:dyDescent="0.25">
      <c r="A23" s="336"/>
      <c r="B23" s="336">
        <v>7</v>
      </c>
      <c r="C23" s="336"/>
      <c r="D23" s="336"/>
      <c r="E23" s="337"/>
      <c r="F23" s="337"/>
      <c r="G23" s="337"/>
      <c r="H23" s="337"/>
      <c r="I23" s="337"/>
      <c r="J23" s="338"/>
      <c r="K23" s="338"/>
      <c r="L23" s="338"/>
    </row>
    <row r="24" spans="1:13" ht="15" x14ac:dyDescent="0.25">
      <c r="A24" s="339"/>
      <c r="B24" s="336"/>
      <c r="C24" s="339"/>
      <c r="D24" s="336"/>
      <c r="E24" s="337"/>
      <c r="F24" s="337"/>
      <c r="G24" s="337"/>
      <c r="H24" s="337"/>
      <c r="I24" s="337"/>
      <c r="J24" s="338"/>
      <c r="K24" s="338"/>
      <c r="L24" s="338"/>
    </row>
    <row r="25" spans="1:13" ht="15" x14ac:dyDescent="0.25">
      <c r="A25" s="334">
        <v>8</v>
      </c>
      <c r="B25" s="335" t="s">
        <v>20</v>
      </c>
      <c r="C25" s="335">
        <f>F4</f>
        <v>6</v>
      </c>
      <c r="D25" s="336" t="s">
        <v>86</v>
      </c>
      <c r="E25" s="338"/>
      <c r="F25" s="337">
        <f>A25*C25/B26</f>
        <v>6.8571428571428568</v>
      </c>
      <c r="G25" s="337"/>
      <c r="H25" s="337"/>
      <c r="I25" s="337"/>
      <c r="J25" s="338"/>
      <c r="K25" s="338"/>
      <c r="L25" s="338"/>
    </row>
    <row r="26" spans="1:13" ht="15" x14ac:dyDescent="0.25">
      <c r="A26" s="336"/>
      <c r="B26" s="336">
        <v>7</v>
      </c>
      <c r="C26" s="336"/>
      <c r="D26" s="336"/>
      <c r="E26" s="337"/>
      <c r="F26" s="337"/>
      <c r="G26" s="337"/>
      <c r="H26" s="337"/>
      <c r="I26" s="337"/>
      <c r="J26" s="338"/>
      <c r="K26" s="338"/>
      <c r="L26" s="338"/>
    </row>
    <row r="27" spans="1:13" ht="15" x14ac:dyDescent="0.25">
      <c r="A27" s="336"/>
      <c r="B27" s="336"/>
      <c r="C27" s="336"/>
      <c r="D27" s="336"/>
      <c r="E27" s="337"/>
      <c r="F27" s="337"/>
      <c r="G27" s="337"/>
      <c r="H27" s="337"/>
      <c r="I27" s="337"/>
      <c r="J27" s="338"/>
      <c r="K27" s="338"/>
      <c r="L27" s="338"/>
    </row>
    <row r="28" spans="1:13" ht="15" x14ac:dyDescent="0.25">
      <c r="A28" s="335">
        <f>$A$25</f>
        <v>8</v>
      </c>
      <c r="B28" s="335" t="s">
        <v>20</v>
      </c>
      <c r="C28" s="335">
        <f>G4</f>
        <v>5</v>
      </c>
      <c r="D28" s="336" t="s">
        <v>86</v>
      </c>
      <c r="E28" s="337"/>
      <c r="F28" s="337"/>
      <c r="G28" s="337">
        <f>A28*C28/B29</f>
        <v>5.7142857142857144</v>
      </c>
      <c r="H28" s="337"/>
      <c r="I28" s="337"/>
      <c r="J28" s="338"/>
      <c r="K28" s="338"/>
      <c r="L28" s="338"/>
    </row>
    <row r="29" spans="1:13" ht="15" x14ac:dyDescent="0.25">
      <c r="A29" s="336"/>
      <c r="B29" s="336">
        <v>7</v>
      </c>
      <c r="C29" s="336"/>
      <c r="D29" s="336"/>
      <c r="E29" s="337"/>
      <c r="F29" s="337"/>
      <c r="G29" s="337"/>
      <c r="H29" s="337"/>
      <c r="I29" s="337"/>
      <c r="J29" s="338"/>
      <c r="K29" s="338"/>
      <c r="L29" s="338"/>
    </row>
    <row r="30" spans="1:13" ht="15" x14ac:dyDescent="0.25">
      <c r="A30" s="336"/>
      <c r="B30" s="336"/>
      <c r="C30" s="336"/>
      <c r="D30" s="336"/>
      <c r="E30" s="337"/>
      <c r="F30" s="337"/>
      <c r="G30" s="337"/>
      <c r="H30" s="337"/>
      <c r="I30" s="337"/>
      <c r="J30" s="338"/>
      <c r="K30" s="338"/>
      <c r="L30" s="338"/>
    </row>
    <row r="31" spans="1:13" ht="15" x14ac:dyDescent="0.25">
      <c r="A31" s="335">
        <f>$A$25</f>
        <v>8</v>
      </c>
      <c r="B31" s="335" t="s">
        <v>20</v>
      </c>
      <c r="C31" s="335">
        <f>H4</f>
        <v>4</v>
      </c>
      <c r="D31" s="336" t="s">
        <v>86</v>
      </c>
      <c r="E31" s="337"/>
      <c r="F31" s="337"/>
      <c r="G31" s="337"/>
      <c r="H31" s="337">
        <f>A31*C31/B32</f>
        <v>4.5714285714285712</v>
      </c>
      <c r="I31" s="337"/>
      <c r="J31" s="338"/>
      <c r="K31" s="338"/>
      <c r="L31" s="338"/>
    </row>
    <row r="32" spans="1:13" ht="15" x14ac:dyDescent="0.25">
      <c r="A32" s="336"/>
      <c r="B32" s="336">
        <v>7</v>
      </c>
      <c r="C32" s="336"/>
      <c r="D32" s="336"/>
      <c r="E32" s="337"/>
      <c r="F32" s="337"/>
      <c r="G32" s="337"/>
      <c r="H32" s="337"/>
      <c r="I32" s="337"/>
      <c r="J32" s="338"/>
      <c r="K32" s="338"/>
      <c r="L32" s="338"/>
    </row>
    <row r="33" spans="1:13" ht="15" x14ac:dyDescent="0.25">
      <c r="A33" s="336"/>
      <c r="B33" s="336"/>
      <c r="C33" s="336"/>
      <c r="D33" s="336"/>
      <c r="E33" s="337"/>
      <c r="F33" s="337"/>
      <c r="G33" s="337"/>
      <c r="H33" s="337"/>
      <c r="I33" s="337"/>
      <c r="J33" s="338"/>
      <c r="K33" s="338"/>
      <c r="L33" s="338"/>
    </row>
    <row r="34" spans="1:13" ht="15" x14ac:dyDescent="0.25">
      <c r="A34" s="335">
        <f>$A$25</f>
        <v>8</v>
      </c>
      <c r="B34" s="335" t="s">
        <v>20</v>
      </c>
      <c r="C34" s="335">
        <f>I4</f>
        <v>3</v>
      </c>
      <c r="D34" s="336" t="s">
        <v>86</v>
      </c>
      <c r="E34" s="337"/>
      <c r="F34" s="337"/>
      <c r="G34" s="337"/>
      <c r="H34" s="337"/>
      <c r="I34" s="340">
        <f>A34*C34/B35</f>
        <v>3.4285714285714284</v>
      </c>
      <c r="J34" s="338"/>
      <c r="K34" s="338"/>
      <c r="L34" s="338"/>
      <c r="M34" s="1" t="s">
        <v>289</v>
      </c>
    </row>
    <row r="35" spans="1:13" ht="15" x14ac:dyDescent="0.25">
      <c r="A35" s="336"/>
      <c r="B35" s="336">
        <v>7</v>
      </c>
      <c r="C35" s="336"/>
      <c r="D35" s="336"/>
      <c r="E35" s="337"/>
      <c r="F35" s="337"/>
      <c r="G35" s="337"/>
      <c r="H35" s="337"/>
      <c r="I35" s="337"/>
      <c r="J35" s="338"/>
      <c r="K35" s="338"/>
      <c r="L35" s="338"/>
    </row>
    <row r="36" spans="1:13" ht="15" x14ac:dyDescent="0.25">
      <c r="A36" s="336"/>
      <c r="B36" s="336"/>
      <c r="C36" s="336"/>
      <c r="D36" s="336"/>
      <c r="E36" s="337"/>
      <c r="F36" s="337"/>
      <c r="G36" s="337"/>
      <c r="H36" s="337"/>
      <c r="I36" s="337"/>
      <c r="J36" s="338"/>
      <c r="K36" s="338"/>
      <c r="L36" s="338"/>
    </row>
    <row r="37" spans="1:13" ht="15" x14ac:dyDescent="0.25">
      <c r="A37" s="335">
        <f>$A$25</f>
        <v>8</v>
      </c>
      <c r="B37" s="335" t="s">
        <v>20</v>
      </c>
      <c r="C37" s="335">
        <f>J4</f>
        <v>2.5</v>
      </c>
      <c r="D37" s="336" t="s">
        <v>86</v>
      </c>
      <c r="E37" s="337"/>
      <c r="F37" s="337"/>
      <c r="G37" s="337"/>
      <c r="H37" s="337"/>
      <c r="I37" s="337"/>
      <c r="J37" s="340">
        <f>A37*C37/B38</f>
        <v>2.8571428571428572</v>
      </c>
      <c r="K37" s="338"/>
      <c r="L37" s="338"/>
      <c r="M37" s="1" t="s">
        <v>289</v>
      </c>
    </row>
    <row r="38" spans="1:13" ht="15" x14ac:dyDescent="0.25">
      <c r="A38" s="336"/>
      <c r="B38" s="336">
        <v>7</v>
      </c>
      <c r="C38" s="336"/>
      <c r="D38" s="336"/>
      <c r="E38" s="337"/>
      <c r="F38" s="337"/>
      <c r="G38" s="337"/>
      <c r="H38" s="337"/>
      <c r="I38" s="337"/>
      <c r="J38" s="338"/>
      <c r="K38" s="341">
        <f>A25*2/7</f>
        <v>2.2857142857142856</v>
      </c>
      <c r="L38" s="341">
        <f>A25*1/7</f>
        <v>1.1428571428571428</v>
      </c>
      <c r="M38" s="1" t="s">
        <v>289</v>
      </c>
    </row>
    <row r="39" spans="1:13" ht="15.6" x14ac:dyDescent="0.3">
      <c r="A39" s="342" t="s">
        <v>88</v>
      </c>
      <c r="B39" s="343"/>
      <c r="C39" s="344"/>
      <c r="D39" s="345"/>
      <c r="E39" s="346"/>
      <c r="F39" s="346">
        <f>SUM(F8:F38)</f>
        <v>11.857142857142858</v>
      </c>
      <c r="G39" s="346">
        <f t="shared" ref="G39:H39" si="1">SUM(G8:G38)</f>
        <v>10.714285714285715</v>
      </c>
      <c r="H39" s="346">
        <f t="shared" si="1"/>
        <v>8.5714285714285712</v>
      </c>
      <c r="I39" s="346">
        <v>0</v>
      </c>
      <c r="J39" s="346">
        <v>0</v>
      </c>
      <c r="K39" s="346">
        <v>0</v>
      </c>
      <c r="L39" s="347">
        <v>0</v>
      </c>
    </row>
    <row r="40" spans="1:13" ht="15" x14ac:dyDescent="0.25">
      <c r="A40" s="339"/>
      <c r="B40" s="336"/>
      <c r="C40" s="339"/>
      <c r="D40" s="336"/>
      <c r="E40" s="337"/>
      <c r="F40" s="337"/>
      <c r="G40" s="337"/>
      <c r="H40" s="337"/>
      <c r="I40" s="337"/>
      <c r="J40" s="338"/>
      <c r="K40" s="338"/>
      <c r="L40" s="338"/>
    </row>
    <row r="41" spans="1:13" ht="15.6" x14ac:dyDescent="0.3">
      <c r="A41" s="664" t="s">
        <v>89</v>
      </c>
      <c r="B41" s="664"/>
      <c r="C41" s="665"/>
      <c r="D41" s="336"/>
      <c r="E41" s="337"/>
      <c r="F41" s="337"/>
      <c r="G41" s="337"/>
      <c r="H41" s="337"/>
      <c r="I41" s="337"/>
      <c r="J41" s="338"/>
      <c r="K41" s="338"/>
      <c r="L41" s="338"/>
    </row>
    <row r="42" spans="1:13" ht="15.6" x14ac:dyDescent="0.3">
      <c r="A42" s="348"/>
      <c r="B42" s="349"/>
      <c r="C42" s="339"/>
      <c r="D42" s="336"/>
      <c r="E42" s="337"/>
      <c r="F42" s="337"/>
      <c r="G42" s="337"/>
      <c r="H42" s="337"/>
      <c r="I42" s="337"/>
      <c r="J42" s="338"/>
      <c r="K42" s="338"/>
      <c r="L42" s="338"/>
    </row>
    <row r="43" spans="1:13" ht="15" x14ac:dyDescent="0.25">
      <c r="A43" s="336">
        <v>1</v>
      </c>
      <c r="B43" s="336" t="s">
        <v>20</v>
      </c>
      <c r="C43" s="350">
        <f>F6</f>
        <v>52.178571428571431</v>
      </c>
      <c r="D43" s="336" t="s">
        <v>86</v>
      </c>
      <c r="E43" s="337"/>
      <c r="F43" s="337"/>
      <c r="G43" s="337">
        <f>A43*C43</f>
        <v>52.178571428571431</v>
      </c>
      <c r="H43" s="337"/>
      <c r="I43" s="337"/>
      <c r="J43" s="338"/>
      <c r="K43" s="338"/>
      <c r="L43" s="338"/>
    </row>
    <row r="44" spans="1:13" ht="15" x14ac:dyDescent="0.25">
      <c r="A44" s="336">
        <v>2</v>
      </c>
      <c r="B44" s="336" t="s">
        <v>20</v>
      </c>
      <c r="C44" s="350">
        <f>F6</f>
        <v>52.178571428571431</v>
      </c>
      <c r="D44" s="336" t="s">
        <v>86</v>
      </c>
      <c r="E44" s="337"/>
      <c r="F44" s="337"/>
      <c r="G44" s="337"/>
      <c r="H44" s="337">
        <f>A44*C44</f>
        <v>104.35714285714286</v>
      </c>
      <c r="I44" s="337"/>
      <c r="J44" s="338"/>
      <c r="K44" s="338"/>
      <c r="L44" s="338"/>
    </row>
    <row r="45" spans="1:13" ht="15" x14ac:dyDescent="0.25">
      <c r="A45" s="336">
        <v>3</v>
      </c>
      <c r="B45" s="336" t="s">
        <v>20</v>
      </c>
      <c r="C45" s="350">
        <f>F6</f>
        <v>52.178571428571431</v>
      </c>
      <c r="D45" s="336" t="s">
        <v>86</v>
      </c>
      <c r="E45" s="337"/>
      <c r="F45" s="337"/>
      <c r="G45" s="337"/>
      <c r="H45" s="337"/>
      <c r="I45" s="337">
        <f>A45*C45</f>
        <v>156.53571428571428</v>
      </c>
      <c r="J45" s="338"/>
      <c r="K45" s="338"/>
      <c r="L45" s="338"/>
    </row>
    <row r="46" spans="1:13" ht="15" x14ac:dyDescent="0.25">
      <c r="A46" s="336">
        <v>3.5</v>
      </c>
      <c r="B46" s="336" t="s">
        <v>20</v>
      </c>
      <c r="C46" s="350">
        <f>F6</f>
        <v>52.178571428571431</v>
      </c>
      <c r="D46" s="336" t="s">
        <v>86</v>
      </c>
      <c r="E46" s="337"/>
      <c r="F46" s="337"/>
      <c r="G46" s="337"/>
      <c r="H46" s="337"/>
      <c r="I46" s="337"/>
      <c r="J46" s="337">
        <f>A46*C46</f>
        <v>182.625</v>
      </c>
      <c r="K46" s="338"/>
      <c r="L46" s="338"/>
    </row>
    <row r="47" spans="1:13" ht="15" x14ac:dyDescent="0.25">
      <c r="A47" s="336">
        <v>4</v>
      </c>
      <c r="B47" s="336" t="s">
        <v>20</v>
      </c>
      <c r="C47" s="350">
        <f>F6</f>
        <v>52.178571428571431</v>
      </c>
      <c r="D47" s="336" t="s">
        <v>86</v>
      </c>
      <c r="E47" s="337"/>
      <c r="F47" s="337"/>
      <c r="G47" s="337"/>
      <c r="H47" s="337"/>
      <c r="I47" s="337"/>
      <c r="J47" s="338"/>
      <c r="K47" s="337">
        <f>A47*C47</f>
        <v>208.71428571428572</v>
      </c>
      <c r="L47" s="338"/>
    </row>
    <row r="48" spans="1:13" ht="15" x14ac:dyDescent="0.25">
      <c r="A48" s="336">
        <v>5</v>
      </c>
      <c r="B48" s="336" t="s">
        <v>20</v>
      </c>
      <c r="C48" s="350">
        <f>F6</f>
        <v>52.178571428571431</v>
      </c>
      <c r="D48" s="336" t="s">
        <v>86</v>
      </c>
      <c r="E48" s="338"/>
      <c r="F48" s="338"/>
      <c r="G48" s="338"/>
      <c r="H48" s="338"/>
      <c r="I48" s="338"/>
      <c r="J48" s="338"/>
      <c r="K48" s="338"/>
      <c r="L48" s="337">
        <f>A48*C48</f>
        <v>260.89285714285717</v>
      </c>
    </row>
    <row r="49" spans="1:12" ht="15" x14ac:dyDescent="0.25">
      <c r="A49" s="336"/>
      <c r="B49" s="336"/>
      <c r="C49" s="351"/>
      <c r="D49" s="336"/>
      <c r="E49" s="338"/>
      <c r="F49" s="338"/>
      <c r="G49" s="338"/>
      <c r="H49" s="338"/>
      <c r="I49" s="338"/>
      <c r="J49" s="338"/>
      <c r="K49" s="338"/>
      <c r="L49" s="337"/>
    </row>
    <row r="50" spans="1:12" ht="15" x14ac:dyDescent="0.25">
      <c r="A50" s="352"/>
      <c r="B50" s="336"/>
      <c r="C50" s="352"/>
      <c r="D50" s="336"/>
      <c r="E50" s="338"/>
      <c r="F50" s="338"/>
      <c r="G50" s="338"/>
      <c r="H50" s="338"/>
      <c r="I50" s="338"/>
      <c r="J50" s="338"/>
      <c r="K50" s="338"/>
      <c r="L50" s="338"/>
    </row>
    <row r="51" spans="1:12" ht="15.6" x14ac:dyDescent="0.3">
      <c r="A51" s="342" t="s">
        <v>90</v>
      </c>
      <c r="B51" s="343"/>
      <c r="C51" s="353"/>
      <c r="D51" s="345"/>
      <c r="E51" s="354">
        <f>E5-E6-E39</f>
        <v>365.25</v>
      </c>
      <c r="F51" s="354">
        <f>F5-F6-F39</f>
        <v>301.21428571428572</v>
      </c>
      <c r="G51" s="354">
        <f>G5-G6-G39-G43</f>
        <v>250.17857142857139</v>
      </c>
      <c r="H51" s="354">
        <f>H5-H6-H39-H44</f>
        <v>200.14285714285714</v>
      </c>
      <c r="I51" s="354">
        <f>I5-I6-I39-I45</f>
        <v>156.53571428571428</v>
      </c>
      <c r="J51" s="354">
        <f>J5-J6-J39-J46</f>
        <v>130.44642857142856</v>
      </c>
      <c r="K51" s="354">
        <f>K5-K6-K39-K47</f>
        <v>104.35714285714283</v>
      </c>
      <c r="L51" s="355">
        <f>L5-L6-L39-L48</f>
        <v>52.178571428571388</v>
      </c>
    </row>
    <row r="52" spans="1:12" ht="15.6" x14ac:dyDescent="0.3">
      <c r="A52" s="461" t="s">
        <v>854</v>
      </c>
      <c r="B52" s="462"/>
      <c r="C52" s="463"/>
      <c r="D52" s="464"/>
      <c r="E52" s="465">
        <f>E51</f>
        <v>365.25</v>
      </c>
      <c r="F52" s="465">
        <f>F51-2*(6/7)</f>
        <v>299.5</v>
      </c>
      <c r="G52" s="465">
        <f>G51-2*(5/7)</f>
        <v>248.74999999999997</v>
      </c>
      <c r="H52" s="465">
        <f>H51-2*(4/7)</f>
        <v>199</v>
      </c>
      <c r="I52" s="465">
        <f>I51-2*(3/7)</f>
        <v>155.67857142857142</v>
      </c>
      <c r="J52" s="465">
        <f>J51-2*(2.5/7)</f>
        <v>129.73214285714283</v>
      </c>
      <c r="K52" s="465">
        <f>K51</f>
        <v>104.35714285714283</v>
      </c>
      <c r="L52" s="465">
        <f>L51</f>
        <v>52.178571428571388</v>
      </c>
    </row>
    <row r="53" spans="1:12" ht="15" customHeight="1" x14ac:dyDescent="0.25">
      <c r="A53" s="356"/>
      <c r="B53" s="357"/>
      <c r="C53" s="356"/>
      <c r="D53" s="357"/>
      <c r="E53" s="493"/>
      <c r="F53" s="666" t="s">
        <v>853</v>
      </c>
      <c r="G53" s="666"/>
      <c r="H53" s="666"/>
      <c r="I53" s="667" t="s">
        <v>291</v>
      </c>
      <c r="J53" s="667"/>
      <c r="K53" s="667"/>
      <c r="L53" s="667"/>
    </row>
    <row r="54" spans="1:12" x14ac:dyDescent="0.25">
      <c r="A54" s="358"/>
      <c r="B54" s="358"/>
      <c r="C54" s="358"/>
      <c r="D54" s="358"/>
      <c r="E54" s="358"/>
      <c r="F54" s="358"/>
      <c r="G54" s="359">
        <f>G51*3/5</f>
        <v>150.10714285714283</v>
      </c>
      <c r="H54" s="358"/>
      <c r="I54" s="358"/>
      <c r="J54" s="358"/>
      <c r="K54" s="358"/>
      <c r="L54" s="358"/>
    </row>
    <row r="55" spans="1:12" x14ac:dyDescent="0.25">
      <c r="A55" s="358"/>
      <c r="B55" s="358"/>
      <c r="C55" s="358"/>
      <c r="D55" s="358"/>
      <c r="E55" s="358"/>
      <c r="F55" s="358"/>
      <c r="G55" s="359">
        <f>G51*1/5</f>
        <v>50.035714285714278</v>
      </c>
      <c r="H55" s="358"/>
      <c r="I55" s="358"/>
      <c r="J55" s="358"/>
      <c r="K55" s="358"/>
      <c r="L55" s="358"/>
    </row>
    <row r="56" spans="1:12" x14ac:dyDescent="0.25">
      <c r="A56" s="358"/>
      <c r="B56" s="358"/>
      <c r="C56" s="358"/>
      <c r="D56" s="358"/>
      <c r="E56" s="360" t="s">
        <v>292</v>
      </c>
      <c r="F56" s="360" t="s">
        <v>293</v>
      </c>
      <c r="G56" s="360" t="s">
        <v>294</v>
      </c>
      <c r="H56" s="360" t="s">
        <v>295</v>
      </c>
      <c r="I56" s="360" t="s">
        <v>296</v>
      </c>
      <c r="J56" s="360" t="s">
        <v>297</v>
      </c>
      <c r="K56" s="360" t="s">
        <v>298</v>
      </c>
      <c r="L56" s="360" t="s">
        <v>299</v>
      </c>
    </row>
    <row r="57" spans="1:12" x14ac:dyDescent="0.25">
      <c r="A57" s="361" t="s">
        <v>300</v>
      </c>
      <c r="B57" s="362"/>
      <c r="C57" s="363" t="s">
        <v>301</v>
      </c>
      <c r="D57" s="363"/>
      <c r="E57" s="364"/>
      <c r="F57" s="364"/>
      <c r="G57" s="364"/>
      <c r="H57" s="364"/>
      <c r="I57" s="364"/>
      <c r="J57" s="364"/>
      <c r="K57" s="364">
        <v>1</v>
      </c>
      <c r="L57" s="365">
        <f>SUM(E57:K57)</f>
        <v>1</v>
      </c>
    </row>
    <row r="58" spans="1:12" x14ac:dyDescent="0.25">
      <c r="A58" s="358"/>
      <c r="B58" s="358"/>
      <c r="C58" s="363" t="s">
        <v>302</v>
      </c>
      <c r="D58" s="363"/>
      <c r="E58" s="364"/>
      <c r="F58" s="364"/>
      <c r="G58" s="364"/>
      <c r="H58" s="364"/>
      <c r="I58" s="364"/>
      <c r="J58" s="364"/>
      <c r="K58" s="364">
        <v>1</v>
      </c>
      <c r="L58" s="365">
        <f t="shared" ref="L58:L72" si="2">SUM(E58:K58)</f>
        <v>1</v>
      </c>
    </row>
    <row r="59" spans="1:12" x14ac:dyDescent="0.25">
      <c r="A59" s="358"/>
      <c r="B59" s="358"/>
      <c r="C59" s="363" t="s">
        <v>303</v>
      </c>
      <c r="D59" s="363"/>
      <c r="E59" s="364">
        <v>1</v>
      </c>
      <c r="F59" s="364"/>
      <c r="G59" s="364"/>
      <c r="H59" s="364"/>
      <c r="I59" s="364"/>
      <c r="J59" s="364"/>
      <c r="K59" s="364"/>
      <c r="L59" s="365">
        <f t="shared" si="2"/>
        <v>1</v>
      </c>
    </row>
    <row r="60" spans="1:12" x14ac:dyDescent="0.25">
      <c r="A60" s="358"/>
      <c r="B60" s="358"/>
      <c r="C60" s="363" t="s">
        <v>304</v>
      </c>
      <c r="D60" s="363"/>
      <c r="E60" s="364">
        <v>1</v>
      </c>
      <c r="F60" s="364"/>
      <c r="G60" s="364"/>
      <c r="H60" s="364"/>
      <c r="I60" s="364"/>
      <c r="J60" s="364"/>
      <c r="K60" s="364"/>
      <c r="L60" s="365">
        <f t="shared" si="2"/>
        <v>1</v>
      </c>
    </row>
    <row r="61" spans="1:12" x14ac:dyDescent="0.25">
      <c r="A61" s="358"/>
      <c r="B61" s="358"/>
      <c r="C61" s="363" t="s">
        <v>305</v>
      </c>
      <c r="D61" s="363"/>
      <c r="E61" s="364"/>
      <c r="F61" s="364"/>
      <c r="G61" s="364"/>
      <c r="H61" s="364"/>
      <c r="I61" s="364">
        <v>1</v>
      </c>
      <c r="J61" s="364"/>
      <c r="K61" s="364"/>
      <c r="L61" s="365">
        <f t="shared" si="2"/>
        <v>1</v>
      </c>
    </row>
    <row r="62" spans="1:12" x14ac:dyDescent="0.25">
      <c r="A62" s="358"/>
      <c r="B62" s="358"/>
      <c r="C62" s="363" t="s">
        <v>306</v>
      </c>
      <c r="D62" s="363"/>
      <c r="E62" s="364"/>
      <c r="F62" s="364"/>
      <c r="G62" s="364"/>
      <c r="H62" s="364">
        <v>1</v>
      </c>
      <c r="I62" s="364"/>
      <c r="J62" s="364"/>
      <c r="K62" s="364"/>
      <c r="L62" s="365">
        <f t="shared" si="2"/>
        <v>1</v>
      </c>
    </row>
    <row r="63" spans="1:12" x14ac:dyDescent="0.25">
      <c r="A63" s="358"/>
      <c r="B63" s="358"/>
      <c r="C63" s="363" t="s">
        <v>307</v>
      </c>
      <c r="D63" s="363"/>
      <c r="E63" s="364"/>
      <c r="F63" s="364"/>
      <c r="G63" s="364"/>
      <c r="H63" s="364">
        <v>1</v>
      </c>
      <c r="I63" s="364"/>
      <c r="J63" s="364"/>
      <c r="K63" s="364"/>
      <c r="L63" s="365">
        <f t="shared" si="2"/>
        <v>1</v>
      </c>
    </row>
    <row r="64" spans="1:12" x14ac:dyDescent="0.25">
      <c r="A64" s="358"/>
      <c r="B64" s="358"/>
      <c r="C64" s="363" t="s">
        <v>308</v>
      </c>
      <c r="D64" s="363"/>
      <c r="E64" s="364">
        <f>1/7</f>
        <v>0.14285714285714285</v>
      </c>
      <c r="F64" s="364">
        <f t="shared" ref="F64:K71" si="3">1/7</f>
        <v>0.14285714285714285</v>
      </c>
      <c r="G64" s="364">
        <f t="shared" si="3"/>
        <v>0.14285714285714285</v>
      </c>
      <c r="H64" s="364">
        <f t="shared" si="3"/>
        <v>0.14285714285714285</v>
      </c>
      <c r="I64" s="364">
        <f t="shared" si="3"/>
        <v>0.14285714285714285</v>
      </c>
      <c r="J64" s="364">
        <f t="shared" si="3"/>
        <v>0.14285714285714285</v>
      </c>
      <c r="K64" s="364">
        <f t="shared" si="3"/>
        <v>0.14285714285714285</v>
      </c>
      <c r="L64" s="365">
        <f t="shared" si="2"/>
        <v>0.99999999999999978</v>
      </c>
    </row>
    <row r="65" spans="1:12" x14ac:dyDescent="0.25">
      <c r="A65" s="358"/>
      <c r="B65" s="358"/>
      <c r="C65" s="363" t="s">
        <v>309</v>
      </c>
      <c r="D65" s="363"/>
      <c r="E65" s="364">
        <f>1/7</f>
        <v>0.14285714285714285</v>
      </c>
      <c r="F65" s="364">
        <f t="shared" si="3"/>
        <v>0.14285714285714285</v>
      </c>
      <c r="G65" s="364">
        <f t="shared" si="3"/>
        <v>0.14285714285714285</v>
      </c>
      <c r="H65" s="364">
        <f t="shared" si="3"/>
        <v>0.14285714285714285</v>
      </c>
      <c r="I65" s="364">
        <f t="shared" si="3"/>
        <v>0.14285714285714285</v>
      </c>
      <c r="J65" s="364">
        <f t="shared" si="3"/>
        <v>0.14285714285714285</v>
      </c>
      <c r="K65" s="364">
        <f t="shared" si="3"/>
        <v>0.14285714285714285</v>
      </c>
      <c r="L65" s="365">
        <f t="shared" si="2"/>
        <v>0.99999999999999978</v>
      </c>
    </row>
    <row r="66" spans="1:12" x14ac:dyDescent="0.25">
      <c r="A66" s="358"/>
      <c r="B66" s="358"/>
      <c r="C66" s="366" t="s">
        <v>310</v>
      </c>
      <c r="D66" s="363"/>
      <c r="E66" s="364">
        <f t="shared" ref="E66:E71" si="4">1/7</f>
        <v>0.14285714285714285</v>
      </c>
      <c r="F66" s="364">
        <f t="shared" si="3"/>
        <v>0.14285714285714285</v>
      </c>
      <c r="G66" s="364">
        <f t="shared" si="3"/>
        <v>0.14285714285714285</v>
      </c>
      <c r="H66" s="364">
        <f t="shared" si="3"/>
        <v>0.14285714285714285</v>
      </c>
      <c r="I66" s="364">
        <f t="shared" si="3"/>
        <v>0.14285714285714285</v>
      </c>
      <c r="J66" s="364">
        <f t="shared" si="3"/>
        <v>0.14285714285714285</v>
      </c>
      <c r="K66" s="364">
        <f t="shared" si="3"/>
        <v>0.14285714285714285</v>
      </c>
      <c r="L66" s="365">
        <f t="shared" si="2"/>
        <v>0.99999999999999978</v>
      </c>
    </row>
    <row r="67" spans="1:12" x14ac:dyDescent="0.25">
      <c r="A67" s="358"/>
      <c r="B67" s="358"/>
      <c r="C67" s="366" t="s">
        <v>311</v>
      </c>
      <c r="D67" s="363"/>
      <c r="E67" s="364">
        <f t="shared" si="4"/>
        <v>0.14285714285714285</v>
      </c>
      <c r="F67" s="364">
        <f t="shared" si="3"/>
        <v>0.14285714285714285</v>
      </c>
      <c r="G67" s="364">
        <f t="shared" si="3"/>
        <v>0.14285714285714285</v>
      </c>
      <c r="H67" s="364">
        <f t="shared" si="3"/>
        <v>0.14285714285714285</v>
      </c>
      <c r="I67" s="364">
        <f t="shared" si="3"/>
        <v>0.14285714285714285</v>
      </c>
      <c r="J67" s="364">
        <f t="shared" si="3"/>
        <v>0.14285714285714285</v>
      </c>
      <c r="K67" s="364">
        <f t="shared" si="3"/>
        <v>0.14285714285714285</v>
      </c>
      <c r="L67" s="365">
        <f t="shared" si="2"/>
        <v>0.99999999999999978</v>
      </c>
    </row>
    <row r="68" spans="1:12" x14ac:dyDescent="0.25">
      <c r="A68" s="358"/>
      <c r="B68" s="358"/>
      <c r="C68" s="366" t="s">
        <v>312</v>
      </c>
      <c r="D68" s="363"/>
      <c r="E68" s="364">
        <f t="shared" si="4"/>
        <v>0.14285714285714285</v>
      </c>
      <c r="F68" s="364">
        <f t="shared" si="3"/>
        <v>0.14285714285714285</v>
      </c>
      <c r="G68" s="364">
        <f t="shared" si="3"/>
        <v>0.14285714285714285</v>
      </c>
      <c r="H68" s="364">
        <f t="shared" si="3"/>
        <v>0.14285714285714285</v>
      </c>
      <c r="I68" s="364">
        <f t="shared" si="3"/>
        <v>0.14285714285714285</v>
      </c>
      <c r="J68" s="364">
        <f t="shared" si="3"/>
        <v>0.14285714285714285</v>
      </c>
      <c r="K68" s="364">
        <f t="shared" si="3"/>
        <v>0.14285714285714285</v>
      </c>
      <c r="L68" s="365">
        <f t="shared" si="2"/>
        <v>0.99999999999999978</v>
      </c>
    </row>
    <row r="69" spans="1:12" x14ac:dyDescent="0.25">
      <c r="A69" s="358"/>
      <c r="B69" s="358"/>
      <c r="C69" s="363" t="s">
        <v>313</v>
      </c>
      <c r="D69" s="363"/>
      <c r="E69" s="364">
        <f t="shared" si="4"/>
        <v>0.14285714285714285</v>
      </c>
      <c r="F69" s="364">
        <f t="shared" si="3"/>
        <v>0.14285714285714285</v>
      </c>
      <c r="G69" s="364">
        <f t="shared" si="3"/>
        <v>0.14285714285714285</v>
      </c>
      <c r="H69" s="364">
        <f t="shared" si="3"/>
        <v>0.14285714285714285</v>
      </c>
      <c r="I69" s="364">
        <f t="shared" si="3"/>
        <v>0.14285714285714285</v>
      </c>
      <c r="J69" s="364">
        <f t="shared" si="3"/>
        <v>0.14285714285714285</v>
      </c>
      <c r="K69" s="364">
        <f t="shared" si="3"/>
        <v>0.14285714285714285</v>
      </c>
      <c r="L69" s="365">
        <f t="shared" si="2"/>
        <v>0.99999999999999978</v>
      </c>
    </row>
    <row r="70" spans="1:12" x14ac:dyDescent="0.25">
      <c r="A70" s="358"/>
      <c r="B70" s="358"/>
      <c r="C70" s="363" t="s">
        <v>314</v>
      </c>
      <c r="D70" s="363"/>
      <c r="E70" s="364">
        <f t="shared" si="4"/>
        <v>0.14285714285714285</v>
      </c>
      <c r="F70" s="364">
        <f t="shared" si="3"/>
        <v>0.14285714285714285</v>
      </c>
      <c r="G70" s="364">
        <f t="shared" si="3"/>
        <v>0.14285714285714285</v>
      </c>
      <c r="H70" s="364">
        <f t="shared" si="3"/>
        <v>0.14285714285714285</v>
      </c>
      <c r="I70" s="364">
        <f t="shared" si="3"/>
        <v>0.14285714285714285</v>
      </c>
      <c r="J70" s="364">
        <f t="shared" si="3"/>
        <v>0.14285714285714285</v>
      </c>
      <c r="K70" s="364">
        <f t="shared" si="3"/>
        <v>0.14285714285714285</v>
      </c>
      <c r="L70" s="365">
        <f t="shared" si="2"/>
        <v>0.99999999999999978</v>
      </c>
    </row>
    <row r="71" spans="1:12" x14ac:dyDescent="0.25">
      <c r="A71" s="358"/>
      <c r="B71" s="358"/>
      <c r="C71" s="363" t="s">
        <v>315</v>
      </c>
      <c r="D71" s="363"/>
      <c r="E71" s="364">
        <f t="shared" si="4"/>
        <v>0.14285714285714285</v>
      </c>
      <c r="F71" s="364">
        <f t="shared" si="3"/>
        <v>0.14285714285714285</v>
      </c>
      <c r="G71" s="364">
        <f t="shared" si="3"/>
        <v>0.14285714285714285</v>
      </c>
      <c r="H71" s="364">
        <f t="shared" si="3"/>
        <v>0.14285714285714285</v>
      </c>
      <c r="I71" s="364">
        <f t="shared" si="3"/>
        <v>0.14285714285714285</v>
      </c>
      <c r="J71" s="364">
        <f t="shared" si="3"/>
        <v>0.14285714285714285</v>
      </c>
      <c r="K71" s="364">
        <f t="shared" si="3"/>
        <v>0.14285714285714285</v>
      </c>
      <c r="L71" s="365">
        <f t="shared" si="2"/>
        <v>0.99999999999999978</v>
      </c>
    </row>
    <row r="72" spans="1:12" x14ac:dyDescent="0.25">
      <c r="A72" s="358"/>
      <c r="B72" s="358"/>
      <c r="C72" s="367" t="s">
        <v>160</v>
      </c>
      <c r="D72" s="367"/>
      <c r="E72" s="368">
        <f>SUM(E57:E71)</f>
        <v>3.1428571428571423</v>
      </c>
      <c r="F72" s="368">
        <f t="shared" ref="F72:K72" si="5">SUM(F57:F71)</f>
        <v>1.1428571428571426</v>
      </c>
      <c r="G72" s="368">
        <f t="shared" si="5"/>
        <v>1.1428571428571426</v>
      </c>
      <c r="H72" s="368">
        <f t="shared" si="5"/>
        <v>3.1428571428571423</v>
      </c>
      <c r="I72" s="368">
        <f t="shared" si="5"/>
        <v>2.1428571428571423</v>
      </c>
      <c r="J72" s="368">
        <f t="shared" si="5"/>
        <v>1.1428571428571426</v>
      </c>
      <c r="K72" s="368">
        <f t="shared" si="5"/>
        <v>3.1428571428571423</v>
      </c>
      <c r="L72" s="368">
        <f t="shared" si="2"/>
        <v>14.999999999999996</v>
      </c>
    </row>
    <row r="73" spans="1:12" x14ac:dyDescent="0.25">
      <c r="A73" s="358"/>
      <c r="B73" s="358"/>
      <c r="C73" s="358"/>
      <c r="D73" s="358"/>
      <c r="E73" s="358"/>
      <c r="F73" s="358"/>
      <c r="G73" s="358"/>
      <c r="H73" s="358"/>
      <c r="I73" s="358"/>
      <c r="J73" s="358"/>
      <c r="K73" s="358"/>
      <c r="L73" s="358"/>
    </row>
    <row r="74" spans="1:12" x14ac:dyDescent="0.25">
      <c r="A74" s="358"/>
      <c r="B74" s="358"/>
      <c r="C74" s="494" t="s">
        <v>316</v>
      </c>
      <c r="D74" s="494"/>
      <c r="E74" s="495">
        <f>$L$51-E72</f>
        <v>49.035714285714249</v>
      </c>
      <c r="F74" s="495">
        <f t="shared" ref="F74:K74" si="6">$L$51-F72</f>
        <v>51.035714285714242</v>
      </c>
      <c r="G74" s="495">
        <f t="shared" si="6"/>
        <v>51.035714285714242</v>
      </c>
      <c r="H74" s="495">
        <f t="shared" si="6"/>
        <v>49.035714285714249</v>
      </c>
      <c r="I74" s="495">
        <f t="shared" si="6"/>
        <v>50.035714285714249</v>
      </c>
      <c r="J74" s="495">
        <f t="shared" si="6"/>
        <v>51.035714285714242</v>
      </c>
      <c r="K74" s="495">
        <f t="shared" si="6"/>
        <v>49.035714285714249</v>
      </c>
      <c r="L74" s="368">
        <f t="shared" ref="L74:L75" si="7">SUM(E74:K74)</f>
        <v>350.24999999999977</v>
      </c>
    </row>
    <row r="75" spans="1:12" x14ac:dyDescent="0.25">
      <c r="A75" s="358"/>
      <c r="B75" s="358"/>
      <c r="C75" s="494" t="s">
        <v>317</v>
      </c>
      <c r="D75" s="494"/>
      <c r="E75" s="495">
        <f>E74+E72</f>
        <v>52.178571428571388</v>
      </c>
      <c r="F75" s="495">
        <f t="shared" ref="F75:K75" si="8">F74+F72</f>
        <v>52.178571428571388</v>
      </c>
      <c r="G75" s="495">
        <f t="shared" si="8"/>
        <v>52.178571428571388</v>
      </c>
      <c r="H75" s="495">
        <f t="shared" si="8"/>
        <v>52.178571428571388</v>
      </c>
      <c r="I75" s="495">
        <f t="shared" si="8"/>
        <v>52.178571428571388</v>
      </c>
      <c r="J75" s="495">
        <f t="shared" si="8"/>
        <v>52.178571428571388</v>
      </c>
      <c r="K75" s="495">
        <f t="shared" si="8"/>
        <v>52.178571428571388</v>
      </c>
      <c r="L75" s="368">
        <f t="shared" si="7"/>
        <v>365.24999999999972</v>
      </c>
    </row>
    <row r="76" spans="1:12" ht="15" x14ac:dyDescent="0.25">
      <c r="A76" s="352"/>
      <c r="B76" s="336"/>
      <c r="C76" s="352"/>
      <c r="D76" s="336"/>
      <c r="E76" s="369"/>
      <c r="F76" s="369"/>
      <c r="G76" s="369"/>
      <c r="H76" s="369"/>
      <c r="I76" s="369"/>
      <c r="J76" s="369"/>
      <c r="K76" s="369"/>
      <c r="L76" s="369"/>
    </row>
    <row r="77" spans="1:12" ht="15" x14ac:dyDescent="0.25">
      <c r="A77" s="352"/>
      <c r="B77" s="336"/>
      <c r="C77" s="352"/>
      <c r="D77" s="336"/>
      <c r="E77" s="369"/>
      <c r="F77" s="369"/>
      <c r="G77" s="369"/>
      <c r="H77" s="369"/>
      <c r="I77" s="369"/>
      <c r="J77" s="369"/>
      <c r="K77" s="369"/>
      <c r="L77" s="369"/>
    </row>
  </sheetData>
  <sheetProtection selectLockedCells="1"/>
  <mergeCells count="8">
    <mergeCell ref="A41:C41"/>
    <mergeCell ref="F53:H53"/>
    <mergeCell ref="I53:L53"/>
    <mergeCell ref="A1:L1"/>
    <mergeCell ref="E3:L3"/>
    <mergeCell ref="A5:B5"/>
    <mergeCell ref="A6:C6"/>
    <mergeCell ref="A21:C21"/>
  </mergeCells>
  <pageMargins left="0.78740157480314965" right="0.78740157480314965" top="0.79166666666666663" bottom="0.98425196850393704" header="0.51181102362204722" footer="0.51181102362204722"/>
  <pageSetup paperSize="9" scale="55" orientation="portrait" horizontalDpi="4294967293" r:id="rId1"/>
  <headerFooter alignWithMargins="0">
    <oddHeader>&amp;CAusschreibung Reinigung Gemeinde Oberhaching 2026</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D1B66-5A60-4A95-95CC-9DCA26BE319D}">
  <dimension ref="A1:M76"/>
  <sheetViews>
    <sheetView showGridLines="0" zoomScale="80" zoomScaleNormal="80" zoomScalePageLayoutView="70" workbookViewId="0">
      <selection activeCell="D2" sqref="D2"/>
    </sheetView>
  </sheetViews>
  <sheetFormatPr baseColWidth="10" defaultColWidth="11.33203125" defaultRowHeight="13.2" x14ac:dyDescent="0.25"/>
  <cols>
    <col min="1" max="1" width="35" style="1" bestFit="1" customWidth="1"/>
    <col min="2" max="2" width="3" style="1" bestFit="1" customWidth="1"/>
    <col min="3" max="3" width="7.109375" style="1" bestFit="1" customWidth="1"/>
    <col min="4" max="4" width="14" style="1" customWidth="1"/>
    <col min="5" max="12" width="9.44140625" style="1" bestFit="1" customWidth="1"/>
    <col min="13" max="16384" width="11.33203125" style="1"/>
  </cols>
  <sheetData>
    <row r="1" spans="1:13" ht="21" x14ac:dyDescent="0.25">
      <c r="A1" s="601" t="s">
        <v>849</v>
      </c>
      <c r="B1" s="601"/>
      <c r="C1" s="601"/>
      <c r="D1" s="601"/>
      <c r="E1" s="601"/>
      <c r="F1" s="601"/>
      <c r="G1" s="601"/>
      <c r="H1" s="601"/>
      <c r="I1" s="601"/>
      <c r="J1" s="601"/>
      <c r="K1" s="601"/>
      <c r="L1" s="601"/>
    </row>
    <row r="2" spans="1:13" ht="15.6" thickBot="1" x14ac:dyDescent="0.3">
      <c r="A2" s="2"/>
      <c r="B2" s="108"/>
      <c r="C2" s="2"/>
      <c r="D2" s="108"/>
      <c r="E2" s="109"/>
      <c r="F2" s="109"/>
      <c r="G2" s="109"/>
      <c r="H2" s="109"/>
      <c r="I2" s="109"/>
      <c r="J2" s="109"/>
      <c r="K2" s="109"/>
      <c r="L2" s="109"/>
    </row>
    <row r="3" spans="1:13" ht="16.2" thickBot="1" x14ac:dyDescent="0.35">
      <c r="A3" s="2"/>
      <c r="B3" s="110"/>
      <c r="C3" s="111"/>
      <c r="D3" s="108"/>
      <c r="E3" s="668" t="s">
        <v>94</v>
      </c>
      <c r="F3" s="669"/>
      <c r="G3" s="669"/>
      <c r="H3" s="669"/>
      <c r="I3" s="669"/>
      <c r="J3" s="669"/>
      <c r="K3" s="669"/>
      <c r="L3" s="670"/>
    </row>
    <row r="4" spans="1:13" ht="16.2" thickBot="1" x14ac:dyDescent="0.3">
      <c r="A4" s="112"/>
      <c r="B4" s="112"/>
      <c r="C4" s="112"/>
      <c r="D4" s="112"/>
      <c r="E4" s="113">
        <v>7</v>
      </c>
      <c r="F4" s="114">
        <v>6</v>
      </c>
      <c r="G4" s="114">
        <v>5</v>
      </c>
      <c r="H4" s="114">
        <v>4</v>
      </c>
      <c r="I4" s="114">
        <v>3</v>
      </c>
      <c r="J4" s="114">
        <v>2.5</v>
      </c>
      <c r="K4" s="114">
        <v>2</v>
      </c>
      <c r="L4" s="115">
        <v>1</v>
      </c>
    </row>
    <row r="5" spans="1:13" ht="15.6" x14ac:dyDescent="0.3">
      <c r="A5" s="671" t="s">
        <v>83</v>
      </c>
      <c r="B5" s="672"/>
      <c r="C5" s="116"/>
      <c r="D5" s="108"/>
      <c r="E5" s="117">
        <f>365.25-14*7</f>
        <v>267.25</v>
      </c>
      <c r="F5" s="117">
        <f t="shared" ref="F5:L5" si="0">365.25-14*7</f>
        <v>267.25</v>
      </c>
      <c r="G5" s="117">
        <f t="shared" si="0"/>
        <v>267.25</v>
      </c>
      <c r="H5" s="117">
        <f t="shared" si="0"/>
        <v>267.25</v>
      </c>
      <c r="I5" s="117">
        <f t="shared" si="0"/>
        <v>267.25</v>
      </c>
      <c r="J5" s="117">
        <f t="shared" si="0"/>
        <v>267.25</v>
      </c>
      <c r="K5" s="117">
        <f t="shared" si="0"/>
        <v>267.25</v>
      </c>
      <c r="L5" s="117">
        <f t="shared" si="0"/>
        <v>267.25</v>
      </c>
    </row>
    <row r="6" spans="1:13" ht="15" x14ac:dyDescent="0.25">
      <c r="A6" s="673" t="s">
        <v>84</v>
      </c>
      <c r="B6" s="673"/>
      <c r="C6" s="673"/>
      <c r="D6" s="108"/>
      <c r="E6" s="118"/>
      <c r="F6" s="118">
        <f t="shared" ref="F6:L6" si="1">F5/7</f>
        <v>38.178571428571431</v>
      </c>
      <c r="G6" s="118">
        <f t="shared" si="1"/>
        <v>38.178571428571431</v>
      </c>
      <c r="H6" s="118">
        <f t="shared" si="1"/>
        <v>38.178571428571431</v>
      </c>
      <c r="I6" s="118">
        <f t="shared" si="1"/>
        <v>38.178571428571431</v>
      </c>
      <c r="J6" s="118">
        <f t="shared" si="1"/>
        <v>38.178571428571431</v>
      </c>
      <c r="K6" s="118">
        <f t="shared" si="1"/>
        <v>38.178571428571431</v>
      </c>
      <c r="L6" s="118">
        <f t="shared" si="1"/>
        <v>38.178571428571431</v>
      </c>
    </row>
    <row r="7" spans="1:13" ht="15" x14ac:dyDescent="0.25">
      <c r="A7" s="122"/>
      <c r="B7" s="122"/>
      <c r="C7" s="122"/>
      <c r="D7" s="108"/>
      <c r="E7" s="118"/>
      <c r="F7" s="118"/>
      <c r="G7" s="118"/>
      <c r="H7" s="118"/>
      <c r="I7" s="118"/>
      <c r="J7" s="118"/>
      <c r="K7" s="118"/>
      <c r="L7" s="118"/>
    </row>
    <row r="8" spans="1:13" ht="15.6" x14ac:dyDescent="0.3">
      <c r="A8" s="120" t="s">
        <v>850</v>
      </c>
      <c r="B8" s="108"/>
      <c r="C8" s="2"/>
      <c r="D8" s="108"/>
      <c r="E8" s="118"/>
      <c r="F8" s="118"/>
      <c r="G8" s="118"/>
      <c r="H8" s="118"/>
      <c r="I8" s="118"/>
      <c r="J8" s="119"/>
      <c r="K8" s="119"/>
      <c r="L8" s="119"/>
    </row>
    <row r="9" spans="1:13" ht="15.6" x14ac:dyDescent="0.3">
      <c r="A9" s="2"/>
      <c r="B9" s="110"/>
      <c r="C9" s="120"/>
      <c r="D9" s="108"/>
      <c r="E9" s="121"/>
      <c r="F9" s="118">
        <f>$A$12</f>
        <v>1</v>
      </c>
      <c r="G9" s="118">
        <f>$A$12</f>
        <v>1</v>
      </c>
      <c r="H9" s="118"/>
      <c r="I9" s="118"/>
      <c r="J9" s="119"/>
      <c r="K9" s="119"/>
      <c r="L9" s="119"/>
    </row>
    <row r="10" spans="1:13" ht="15" x14ac:dyDescent="0.25">
      <c r="A10" s="122"/>
      <c r="B10" s="108"/>
      <c r="C10" s="122"/>
      <c r="D10" s="108"/>
      <c r="E10" s="121"/>
      <c r="F10" s="118"/>
      <c r="G10" s="118"/>
      <c r="H10" s="118"/>
      <c r="I10" s="118"/>
      <c r="J10" s="119"/>
      <c r="K10" s="119"/>
      <c r="L10" s="119"/>
    </row>
    <row r="11" spans="1:13" ht="15" x14ac:dyDescent="0.25">
      <c r="A11" s="122"/>
      <c r="B11" s="108"/>
      <c r="C11" s="122"/>
      <c r="D11" s="108"/>
      <c r="E11" s="121"/>
      <c r="F11" s="118"/>
      <c r="G11" s="118"/>
      <c r="H11" s="118"/>
      <c r="I11" s="118"/>
      <c r="J11" s="119"/>
      <c r="K11" s="119"/>
      <c r="L11" s="119"/>
    </row>
    <row r="12" spans="1:13" ht="15" x14ac:dyDescent="0.25">
      <c r="A12" s="123">
        <v>1</v>
      </c>
      <c r="B12" s="124" t="s">
        <v>20</v>
      </c>
      <c r="C12" s="124">
        <f>H4</f>
        <v>4</v>
      </c>
      <c r="D12" s="108" t="s">
        <v>86</v>
      </c>
      <c r="E12" s="119"/>
      <c r="F12" s="118"/>
      <c r="G12" s="118"/>
      <c r="H12" s="118">
        <f>A12*C12/B13</f>
        <v>0.8</v>
      </c>
      <c r="I12" s="118"/>
      <c r="J12" s="119"/>
      <c r="K12" s="119"/>
      <c r="L12" s="119"/>
    </row>
    <row r="13" spans="1:13" ht="15" x14ac:dyDescent="0.25">
      <c r="A13" s="116"/>
      <c r="B13" s="108">
        <v>5</v>
      </c>
      <c r="C13" s="116"/>
      <c r="D13" s="108"/>
      <c r="E13" s="118"/>
      <c r="F13" s="118"/>
      <c r="G13" s="118"/>
      <c r="H13" s="118"/>
      <c r="I13" s="119"/>
      <c r="J13" s="119"/>
      <c r="K13" s="119"/>
      <c r="L13" s="119"/>
    </row>
    <row r="14" spans="1:13" ht="15" x14ac:dyDescent="0.25">
      <c r="A14" s="116"/>
      <c r="B14" s="108"/>
      <c r="C14" s="116"/>
      <c r="D14" s="108"/>
      <c r="E14" s="118"/>
      <c r="F14" s="118"/>
      <c r="G14" s="118"/>
      <c r="H14" s="118"/>
      <c r="I14" s="118"/>
      <c r="J14" s="119"/>
      <c r="K14" s="119"/>
      <c r="L14" s="119"/>
    </row>
    <row r="15" spans="1:13" ht="15" x14ac:dyDescent="0.25">
      <c r="A15" s="124">
        <f>$A$12</f>
        <v>1</v>
      </c>
      <c r="B15" s="124" t="s">
        <v>20</v>
      </c>
      <c r="C15" s="124">
        <f>I4</f>
        <v>3</v>
      </c>
      <c r="D15" s="108" t="s">
        <v>86</v>
      </c>
      <c r="E15" s="119"/>
      <c r="F15" s="118"/>
      <c r="G15" s="118"/>
      <c r="H15" s="118"/>
      <c r="I15" s="332">
        <f>A15*C15/B16</f>
        <v>0.6</v>
      </c>
      <c r="J15" s="119"/>
      <c r="K15" s="119"/>
      <c r="L15" s="119"/>
      <c r="M15" s="1" t="s">
        <v>289</v>
      </c>
    </row>
    <row r="16" spans="1:13" ht="15" x14ac:dyDescent="0.25">
      <c r="A16" s="108"/>
      <c r="B16" s="108">
        <v>5</v>
      </c>
      <c r="C16" s="108"/>
      <c r="D16" s="108"/>
      <c r="E16" s="118"/>
      <c r="F16" s="118"/>
      <c r="G16" s="118"/>
      <c r="H16" s="118"/>
      <c r="I16" s="119"/>
      <c r="J16" s="119"/>
      <c r="K16" s="119"/>
      <c r="L16" s="119"/>
    </row>
    <row r="17" spans="1:13" ht="15" x14ac:dyDescent="0.25">
      <c r="A17" s="108"/>
      <c r="B17" s="108"/>
      <c r="C17" s="108"/>
      <c r="D17" s="108"/>
      <c r="E17" s="118"/>
      <c r="F17" s="118"/>
      <c r="G17" s="118"/>
      <c r="H17" s="118"/>
      <c r="I17" s="118"/>
      <c r="J17" s="119"/>
      <c r="K17" s="119"/>
      <c r="L17" s="119"/>
    </row>
    <row r="18" spans="1:13" ht="15" x14ac:dyDescent="0.25">
      <c r="A18" s="124">
        <f>$A$12</f>
        <v>1</v>
      </c>
      <c r="B18" s="124" t="s">
        <v>20</v>
      </c>
      <c r="C18" s="124">
        <f>J4</f>
        <v>2.5</v>
      </c>
      <c r="D18" s="108" t="s">
        <v>86</v>
      </c>
      <c r="E18" s="119"/>
      <c r="F18" s="118"/>
      <c r="G18" s="118"/>
      <c r="H18" s="118"/>
      <c r="I18" s="118"/>
      <c r="J18" s="333">
        <f>A18*C18/B19</f>
        <v>0.5</v>
      </c>
      <c r="K18" s="119"/>
      <c r="L18" s="119"/>
      <c r="M18" s="1" t="s">
        <v>289</v>
      </c>
    </row>
    <row r="19" spans="1:13" ht="15" x14ac:dyDescent="0.25">
      <c r="A19" s="108"/>
      <c r="B19" s="108">
        <v>5</v>
      </c>
      <c r="C19" s="108"/>
      <c r="D19" s="108"/>
      <c r="E19" s="118"/>
      <c r="F19" s="118"/>
      <c r="G19" s="118"/>
      <c r="H19" s="118"/>
      <c r="I19" s="118"/>
      <c r="J19" s="119"/>
      <c r="K19" s="119"/>
      <c r="L19" s="119"/>
    </row>
    <row r="20" spans="1:13" ht="15" x14ac:dyDescent="0.25">
      <c r="A20" s="116"/>
      <c r="B20" s="108"/>
      <c r="C20" s="116"/>
      <c r="D20" s="108"/>
      <c r="E20" s="118"/>
      <c r="F20" s="118"/>
      <c r="G20" s="118"/>
      <c r="H20" s="118"/>
      <c r="I20" s="118"/>
      <c r="J20" s="119"/>
      <c r="K20" s="119"/>
      <c r="L20" s="119"/>
    </row>
    <row r="21" spans="1:13" ht="15.6" x14ac:dyDescent="0.3">
      <c r="A21" s="674" t="s">
        <v>87</v>
      </c>
      <c r="B21" s="674"/>
      <c r="C21" s="674"/>
      <c r="D21" s="110"/>
      <c r="E21" s="118"/>
      <c r="F21" s="118"/>
      <c r="G21" s="118"/>
      <c r="H21" s="118"/>
      <c r="I21" s="118"/>
      <c r="J21" s="119"/>
      <c r="K21" s="119"/>
      <c r="L21" s="119"/>
    </row>
    <row r="22" spans="1:13" ht="15" x14ac:dyDescent="0.25">
      <c r="A22" s="334">
        <f>L71-B71</f>
        <v>1.9999999999999996</v>
      </c>
      <c r="B22" s="335" t="s">
        <v>20</v>
      </c>
      <c r="C22" s="335">
        <v>7</v>
      </c>
      <c r="D22" s="336" t="s">
        <v>86</v>
      </c>
      <c r="E22" s="337">
        <f>A22*C22/B23</f>
        <v>1.9999999999999996</v>
      </c>
      <c r="F22" s="337"/>
      <c r="G22" s="337"/>
      <c r="H22" s="337"/>
      <c r="I22" s="337"/>
      <c r="J22" s="338"/>
      <c r="K22" s="338"/>
      <c r="L22" s="338"/>
    </row>
    <row r="23" spans="1:13" ht="15" x14ac:dyDescent="0.25">
      <c r="A23" s="336"/>
      <c r="B23" s="336">
        <v>7</v>
      </c>
      <c r="C23" s="336"/>
      <c r="D23" s="336"/>
      <c r="E23" s="337"/>
      <c r="F23" s="337"/>
      <c r="G23" s="337"/>
      <c r="H23" s="337"/>
      <c r="I23" s="337"/>
      <c r="J23" s="338"/>
      <c r="K23" s="338"/>
      <c r="L23" s="338"/>
    </row>
    <row r="24" spans="1:13" ht="15" x14ac:dyDescent="0.25">
      <c r="A24" s="339"/>
      <c r="B24" s="336"/>
      <c r="C24" s="339"/>
      <c r="D24" s="336"/>
      <c r="E24" s="337"/>
      <c r="F24" s="337"/>
      <c r="G24" s="337"/>
      <c r="H24" s="337"/>
      <c r="I24" s="337"/>
      <c r="J24" s="338"/>
      <c r="K24" s="338"/>
      <c r="L24" s="338"/>
    </row>
    <row r="25" spans="1:13" ht="15" x14ac:dyDescent="0.25">
      <c r="A25" s="334">
        <f>A22</f>
        <v>1.9999999999999996</v>
      </c>
      <c r="B25" s="335" t="s">
        <v>20</v>
      </c>
      <c r="C25" s="335">
        <f>F4</f>
        <v>6</v>
      </c>
      <c r="D25" s="336" t="s">
        <v>86</v>
      </c>
      <c r="E25" s="338"/>
      <c r="F25" s="337">
        <f>A25*C25/B26</f>
        <v>1.7142857142857137</v>
      </c>
      <c r="G25" s="337"/>
      <c r="H25" s="337"/>
      <c r="I25" s="337"/>
      <c r="J25" s="338"/>
      <c r="K25" s="338"/>
      <c r="L25" s="338"/>
    </row>
    <row r="26" spans="1:13" ht="15" x14ac:dyDescent="0.25">
      <c r="A26" s="336"/>
      <c r="B26" s="336">
        <v>7</v>
      </c>
      <c r="C26" s="336"/>
      <c r="D26" s="336"/>
      <c r="E26" s="337"/>
      <c r="F26" s="337"/>
      <c r="G26" s="337"/>
      <c r="H26" s="337"/>
      <c r="I26" s="337"/>
      <c r="J26" s="338"/>
      <c r="K26" s="338"/>
      <c r="L26" s="338"/>
    </row>
    <row r="27" spans="1:13" ht="15" x14ac:dyDescent="0.25">
      <c r="A27" s="336"/>
      <c r="B27" s="336"/>
      <c r="C27" s="336"/>
      <c r="D27" s="336"/>
      <c r="E27" s="337"/>
      <c r="F27" s="337"/>
      <c r="G27" s="337"/>
      <c r="H27" s="337"/>
      <c r="I27" s="337"/>
      <c r="J27" s="338"/>
      <c r="K27" s="338"/>
      <c r="L27" s="338"/>
    </row>
    <row r="28" spans="1:13" ht="15" x14ac:dyDescent="0.25">
      <c r="A28" s="335">
        <f>$A$25</f>
        <v>1.9999999999999996</v>
      </c>
      <c r="B28" s="335" t="s">
        <v>20</v>
      </c>
      <c r="C28" s="335">
        <f>G4</f>
        <v>5</v>
      </c>
      <c r="D28" s="336" t="s">
        <v>86</v>
      </c>
      <c r="E28" s="337"/>
      <c r="F28" s="337"/>
      <c r="G28" s="337">
        <f>A28*C28/B29</f>
        <v>1.4285714285714284</v>
      </c>
      <c r="H28" s="337"/>
      <c r="I28" s="337"/>
      <c r="J28" s="338"/>
      <c r="K28" s="338"/>
      <c r="L28" s="338"/>
    </row>
    <row r="29" spans="1:13" ht="15" x14ac:dyDescent="0.25">
      <c r="A29" s="336"/>
      <c r="B29" s="336">
        <v>7</v>
      </c>
      <c r="C29" s="336"/>
      <c r="D29" s="336"/>
      <c r="E29" s="337"/>
      <c r="F29" s="337"/>
      <c r="G29" s="337"/>
      <c r="H29" s="337"/>
      <c r="I29" s="337"/>
      <c r="J29" s="338"/>
      <c r="K29" s="338"/>
      <c r="L29" s="338"/>
    </row>
    <row r="30" spans="1:13" ht="15" x14ac:dyDescent="0.25">
      <c r="A30" s="336"/>
      <c r="B30" s="336"/>
      <c r="C30" s="336"/>
      <c r="D30" s="336"/>
      <c r="E30" s="337"/>
      <c r="F30" s="337"/>
      <c r="G30" s="337"/>
      <c r="H30" s="337"/>
      <c r="I30" s="337"/>
      <c r="J30" s="338"/>
      <c r="K30" s="338"/>
      <c r="L30" s="338"/>
    </row>
    <row r="31" spans="1:13" ht="15" x14ac:dyDescent="0.25">
      <c r="A31" s="335">
        <f>$A$25</f>
        <v>1.9999999999999996</v>
      </c>
      <c r="B31" s="335" t="s">
        <v>20</v>
      </c>
      <c r="C31" s="335">
        <f>H4</f>
        <v>4</v>
      </c>
      <c r="D31" s="336" t="s">
        <v>86</v>
      </c>
      <c r="E31" s="337"/>
      <c r="F31" s="337"/>
      <c r="G31" s="337"/>
      <c r="H31" s="337">
        <f>A31*C31/B32</f>
        <v>1.1428571428571426</v>
      </c>
      <c r="I31" s="337"/>
      <c r="J31" s="338"/>
      <c r="K31" s="338"/>
      <c r="L31" s="338"/>
    </row>
    <row r="32" spans="1:13" ht="15" x14ac:dyDescent="0.25">
      <c r="A32" s="336"/>
      <c r="B32" s="336">
        <v>7</v>
      </c>
      <c r="C32" s="336"/>
      <c r="D32" s="336"/>
      <c r="E32" s="337"/>
      <c r="F32" s="337"/>
      <c r="G32" s="337"/>
      <c r="H32" s="337"/>
      <c r="I32" s="337"/>
      <c r="J32" s="338"/>
      <c r="K32" s="338"/>
      <c r="L32" s="338"/>
    </row>
    <row r="33" spans="1:13" ht="15" x14ac:dyDescent="0.25">
      <c r="A33" s="336"/>
      <c r="B33" s="336"/>
      <c r="C33" s="336"/>
      <c r="D33" s="336"/>
      <c r="E33" s="337"/>
      <c r="F33" s="337"/>
      <c r="G33" s="337"/>
      <c r="H33" s="337"/>
      <c r="I33" s="337"/>
      <c r="J33" s="338"/>
      <c r="K33" s="338"/>
      <c r="L33" s="338"/>
    </row>
    <row r="34" spans="1:13" ht="15" x14ac:dyDescent="0.25">
      <c r="A34" s="335">
        <f>$A$25</f>
        <v>1.9999999999999996</v>
      </c>
      <c r="B34" s="335" t="s">
        <v>20</v>
      </c>
      <c r="C34" s="335">
        <f>I4</f>
        <v>3</v>
      </c>
      <c r="D34" s="336" t="s">
        <v>86</v>
      </c>
      <c r="E34" s="337"/>
      <c r="F34" s="337"/>
      <c r="G34" s="337"/>
      <c r="H34" s="337"/>
      <c r="I34" s="340">
        <f>A34*C34/B35</f>
        <v>0.85714285714285687</v>
      </c>
      <c r="J34" s="338"/>
      <c r="K34" s="338"/>
      <c r="L34" s="338"/>
      <c r="M34" s="1" t="s">
        <v>289</v>
      </c>
    </row>
    <row r="35" spans="1:13" ht="15" x14ac:dyDescent="0.25">
      <c r="A35" s="336"/>
      <c r="B35" s="336">
        <v>7</v>
      </c>
      <c r="C35" s="336"/>
      <c r="D35" s="336"/>
      <c r="E35" s="337"/>
      <c r="F35" s="337"/>
      <c r="G35" s="337"/>
      <c r="H35" s="337"/>
      <c r="I35" s="337"/>
      <c r="J35" s="338"/>
      <c r="K35" s="338"/>
      <c r="L35" s="338"/>
    </row>
    <row r="36" spans="1:13" ht="15" x14ac:dyDescent="0.25">
      <c r="A36" s="336"/>
      <c r="B36" s="336"/>
      <c r="C36" s="336"/>
      <c r="D36" s="336"/>
      <c r="E36" s="337"/>
      <c r="F36" s="337"/>
      <c r="G36" s="337"/>
      <c r="H36" s="337"/>
      <c r="I36" s="337"/>
      <c r="J36" s="338"/>
      <c r="K36" s="338"/>
      <c r="L36" s="338"/>
    </row>
    <row r="37" spans="1:13" ht="15" x14ac:dyDescent="0.25">
      <c r="A37" s="335">
        <f>$A$25</f>
        <v>1.9999999999999996</v>
      </c>
      <c r="B37" s="335" t="s">
        <v>20</v>
      </c>
      <c r="C37" s="335">
        <f>J4</f>
        <v>2.5</v>
      </c>
      <c r="D37" s="336" t="s">
        <v>86</v>
      </c>
      <c r="E37" s="337"/>
      <c r="F37" s="337"/>
      <c r="G37" s="337"/>
      <c r="H37" s="337"/>
      <c r="I37" s="337"/>
      <c r="J37" s="340">
        <f>A37*C37/B38</f>
        <v>0.71428571428571419</v>
      </c>
      <c r="K37" s="338"/>
      <c r="L37" s="338"/>
      <c r="M37" s="1" t="s">
        <v>289</v>
      </c>
    </row>
    <row r="38" spans="1:13" ht="15" x14ac:dyDescent="0.25">
      <c r="A38" s="336"/>
      <c r="B38" s="336">
        <v>7</v>
      </c>
      <c r="C38" s="336"/>
      <c r="D38" s="336"/>
      <c r="E38" s="337"/>
      <c r="F38" s="337"/>
      <c r="G38" s="337"/>
      <c r="H38" s="337"/>
      <c r="I38" s="337"/>
      <c r="J38" s="338"/>
      <c r="K38" s="341">
        <f>A25*2/7</f>
        <v>0.57142857142857129</v>
      </c>
      <c r="L38" s="341">
        <f>A25*1/7</f>
        <v>0.28571428571428564</v>
      </c>
      <c r="M38" s="1" t="s">
        <v>289</v>
      </c>
    </row>
    <row r="39" spans="1:13" ht="15.6" x14ac:dyDescent="0.3">
      <c r="A39" s="342" t="s">
        <v>88</v>
      </c>
      <c r="B39" s="343"/>
      <c r="C39" s="344"/>
      <c r="D39" s="345"/>
      <c r="E39" s="346"/>
      <c r="F39" s="346">
        <f>SUM(F8:F38)</f>
        <v>2.7142857142857135</v>
      </c>
      <c r="G39" s="346">
        <f>SUM(G8:G38)</f>
        <v>2.4285714285714284</v>
      </c>
      <c r="H39" s="346">
        <f>SUM(H8:H38)</f>
        <v>1.9428571428571426</v>
      </c>
      <c r="I39" s="346">
        <v>0</v>
      </c>
      <c r="J39" s="346">
        <v>0</v>
      </c>
      <c r="K39" s="346">
        <v>0</v>
      </c>
      <c r="L39" s="347">
        <v>0</v>
      </c>
    </row>
    <row r="40" spans="1:13" ht="15" x14ac:dyDescent="0.25">
      <c r="A40" s="339"/>
      <c r="B40" s="336"/>
      <c r="C40" s="339"/>
      <c r="D40" s="336"/>
      <c r="E40" s="337"/>
      <c r="F40" s="337"/>
      <c r="G40" s="337"/>
      <c r="H40" s="337"/>
      <c r="I40" s="337"/>
      <c r="J40" s="338"/>
      <c r="K40" s="338"/>
      <c r="L40" s="338"/>
    </row>
    <row r="41" spans="1:13" ht="15.6" x14ac:dyDescent="0.3">
      <c r="A41" s="664" t="s">
        <v>89</v>
      </c>
      <c r="B41" s="664"/>
      <c r="C41" s="665"/>
      <c r="D41" s="336"/>
      <c r="E41" s="337"/>
      <c r="F41" s="337"/>
      <c r="G41" s="337"/>
      <c r="H41" s="337"/>
      <c r="I41" s="337"/>
      <c r="J41" s="338"/>
      <c r="K41" s="338"/>
      <c r="L41" s="338"/>
    </row>
    <row r="42" spans="1:13" ht="15.6" x14ac:dyDescent="0.3">
      <c r="A42" s="348"/>
      <c r="B42" s="349"/>
      <c r="C42" s="339"/>
      <c r="D42" s="336"/>
      <c r="E42" s="337"/>
      <c r="F42" s="337"/>
      <c r="G42" s="337"/>
      <c r="H42" s="337"/>
      <c r="I42" s="337"/>
      <c r="J42" s="338"/>
      <c r="K42" s="338"/>
      <c r="L42" s="338"/>
    </row>
    <row r="43" spans="1:13" ht="15" x14ac:dyDescent="0.25">
      <c r="A43" s="336">
        <v>1</v>
      </c>
      <c r="B43" s="336" t="s">
        <v>20</v>
      </c>
      <c r="C43" s="350">
        <f>F6</f>
        <v>38.178571428571431</v>
      </c>
      <c r="D43" s="336" t="s">
        <v>86</v>
      </c>
      <c r="E43" s="337"/>
      <c r="F43" s="337"/>
      <c r="G43" s="337">
        <f>A43*C43</f>
        <v>38.178571428571431</v>
      </c>
      <c r="H43" s="337"/>
      <c r="I43" s="337"/>
      <c r="J43" s="338"/>
      <c r="K43" s="338"/>
      <c r="L43" s="338"/>
    </row>
    <row r="44" spans="1:13" ht="15" x14ac:dyDescent="0.25">
      <c r="A44" s="336">
        <v>2</v>
      </c>
      <c r="B44" s="336" t="s">
        <v>20</v>
      </c>
      <c r="C44" s="350">
        <f>F6</f>
        <v>38.178571428571431</v>
      </c>
      <c r="D44" s="336" t="s">
        <v>86</v>
      </c>
      <c r="E44" s="337"/>
      <c r="F44" s="337"/>
      <c r="G44" s="337"/>
      <c r="H44" s="337">
        <f>A44*C44</f>
        <v>76.357142857142861</v>
      </c>
      <c r="I44" s="337"/>
      <c r="J44" s="338"/>
      <c r="K44" s="338"/>
      <c r="L44" s="338"/>
    </row>
    <row r="45" spans="1:13" ht="15" x14ac:dyDescent="0.25">
      <c r="A45" s="336">
        <v>3</v>
      </c>
      <c r="B45" s="336" t="s">
        <v>20</v>
      </c>
      <c r="C45" s="350">
        <f>F6</f>
        <v>38.178571428571431</v>
      </c>
      <c r="D45" s="336" t="s">
        <v>86</v>
      </c>
      <c r="E45" s="337"/>
      <c r="F45" s="337"/>
      <c r="G45" s="337"/>
      <c r="H45" s="337"/>
      <c r="I45" s="337">
        <f>A45*C45</f>
        <v>114.53571428571429</v>
      </c>
      <c r="J45" s="338"/>
      <c r="K45" s="338"/>
      <c r="L45" s="338"/>
    </row>
    <row r="46" spans="1:13" ht="15" x14ac:dyDescent="0.25">
      <c r="A46" s="336">
        <v>3.5</v>
      </c>
      <c r="B46" s="336" t="s">
        <v>20</v>
      </c>
      <c r="C46" s="350">
        <f>F6</f>
        <v>38.178571428571431</v>
      </c>
      <c r="D46" s="336" t="s">
        <v>86</v>
      </c>
      <c r="E46" s="337"/>
      <c r="F46" s="337"/>
      <c r="G46" s="337"/>
      <c r="H46" s="337"/>
      <c r="I46" s="337"/>
      <c r="J46" s="337">
        <f>A46*C46</f>
        <v>133.625</v>
      </c>
      <c r="K46" s="338"/>
      <c r="L46" s="338"/>
    </row>
    <row r="47" spans="1:13" ht="15" x14ac:dyDescent="0.25">
      <c r="A47" s="336">
        <v>4</v>
      </c>
      <c r="B47" s="336" t="s">
        <v>20</v>
      </c>
      <c r="C47" s="350">
        <f>F6</f>
        <v>38.178571428571431</v>
      </c>
      <c r="D47" s="336" t="s">
        <v>86</v>
      </c>
      <c r="E47" s="337"/>
      <c r="F47" s="337"/>
      <c r="G47" s="337"/>
      <c r="H47" s="337"/>
      <c r="I47" s="337"/>
      <c r="J47" s="338"/>
      <c r="K47" s="337">
        <f>A47*C47</f>
        <v>152.71428571428572</v>
      </c>
      <c r="L47" s="338"/>
    </row>
    <row r="48" spans="1:13" ht="15" x14ac:dyDescent="0.25">
      <c r="A48" s="336">
        <v>5</v>
      </c>
      <c r="B48" s="336" t="s">
        <v>20</v>
      </c>
      <c r="C48" s="350">
        <f>F6</f>
        <v>38.178571428571431</v>
      </c>
      <c r="D48" s="336" t="s">
        <v>86</v>
      </c>
      <c r="E48" s="338"/>
      <c r="F48" s="338"/>
      <c r="G48" s="338"/>
      <c r="H48" s="338"/>
      <c r="I48" s="338"/>
      <c r="J48" s="338"/>
      <c r="K48" s="338"/>
      <c r="L48" s="337">
        <f>A48*C48</f>
        <v>190.89285714285717</v>
      </c>
    </row>
    <row r="49" spans="1:12" ht="15" x14ac:dyDescent="0.25">
      <c r="A49" s="336"/>
      <c r="B49" s="336"/>
      <c r="C49" s="351"/>
      <c r="D49" s="336"/>
      <c r="E49" s="338"/>
      <c r="F49" s="338"/>
      <c r="G49" s="338"/>
      <c r="H49" s="338"/>
      <c r="I49" s="338"/>
      <c r="J49" s="338"/>
      <c r="K49" s="338"/>
      <c r="L49" s="337"/>
    </row>
    <row r="50" spans="1:12" ht="15" x14ac:dyDescent="0.25">
      <c r="A50" s="352"/>
      <c r="B50" s="336"/>
      <c r="C50" s="352"/>
      <c r="D50" s="336"/>
      <c r="E50" s="338"/>
      <c r="F50" s="338"/>
      <c r="G50" s="338"/>
      <c r="H50" s="338"/>
      <c r="I50" s="338"/>
      <c r="J50" s="338"/>
      <c r="K50" s="338"/>
      <c r="L50" s="338"/>
    </row>
    <row r="51" spans="1:12" ht="15.6" x14ac:dyDescent="0.3">
      <c r="A51" s="342" t="s">
        <v>90</v>
      </c>
      <c r="B51" s="343"/>
      <c r="C51" s="353"/>
      <c r="D51" s="345"/>
      <c r="E51" s="354">
        <f>E5-E6-E39</f>
        <v>267.25</v>
      </c>
      <c r="F51" s="354">
        <f>F5-F6-F39</f>
        <v>226.35714285714283</v>
      </c>
      <c r="G51" s="354">
        <f>G5-G6-G39-G43</f>
        <v>188.46428571428572</v>
      </c>
      <c r="H51" s="354">
        <f>H5-H6-H39-H44</f>
        <v>150.77142857142854</v>
      </c>
      <c r="I51" s="354">
        <f>I5-I6-I39-I45</f>
        <v>114.53571428571426</v>
      </c>
      <c r="J51" s="354">
        <f>J5-J6-J39-J46</f>
        <v>95.446428571428555</v>
      </c>
      <c r="K51" s="354">
        <f>K5-K6-K39-K47</f>
        <v>76.357142857142833</v>
      </c>
      <c r="L51" s="355">
        <f>L5-L6-L39-L48</f>
        <v>38.178571428571388</v>
      </c>
    </row>
    <row r="52" spans="1:12" ht="15" customHeight="1" x14ac:dyDescent="0.25">
      <c r="A52" s="356"/>
      <c r="B52" s="357"/>
      <c r="C52" s="356"/>
      <c r="D52" s="357"/>
      <c r="E52" s="492"/>
      <c r="F52" s="666" t="s">
        <v>290</v>
      </c>
      <c r="G52" s="666"/>
      <c r="H52" s="666"/>
      <c r="I52" s="667" t="s">
        <v>291</v>
      </c>
      <c r="J52" s="667"/>
      <c r="K52" s="667"/>
      <c r="L52" s="667"/>
    </row>
    <row r="53" spans="1:12" x14ac:dyDescent="0.25">
      <c r="A53" s="358"/>
      <c r="B53" s="358"/>
      <c r="C53" s="358"/>
      <c r="D53" s="358"/>
      <c r="E53" s="358"/>
      <c r="F53" s="358"/>
      <c r="G53" s="359">
        <f>G51*3/5</f>
        <v>113.07857142857142</v>
      </c>
      <c r="H53" s="358"/>
      <c r="I53" s="358"/>
      <c r="J53" s="358"/>
      <c r="K53" s="358"/>
      <c r="L53" s="358"/>
    </row>
    <row r="54" spans="1:12" x14ac:dyDescent="0.25">
      <c r="A54" s="675" t="s">
        <v>852</v>
      </c>
      <c r="B54" s="675"/>
      <c r="C54" s="675"/>
      <c r="D54" s="675"/>
      <c r="E54" s="358"/>
      <c r="F54" s="358"/>
      <c r="G54" s="359">
        <f>G51*1/5</f>
        <v>37.692857142857143</v>
      </c>
      <c r="H54" s="358"/>
      <c r="I54" s="358"/>
      <c r="J54" s="358"/>
      <c r="K54" s="358"/>
      <c r="L54" s="358"/>
    </row>
    <row r="55" spans="1:12" x14ac:dyDescent="0.25">
      <c r="A55" s="361"/>
      <c r="B55" s="361" t="s">
        <v>851</v>
      </c>
      <c r="C55" s="361"/>
      <c r="D55" s="361" t="s">
        <v>300</v>
      </c>
      <c r="E55" s="360" t="s">
        <v>292</v>
      </c>
      <c r="F55" s="360" t="s">
        <v>293</v>
      </c>
      <c r="G55" s="360" t="s">
        <v>294</v>
      </c>
      <c r="H55" s="360" t="s">
        <v>295</v>
      </c>
      <c r="I55" s="360" t="s">
        <v>296</v>
      </c>
      <c r="J55" s="360" t="s">
        <v>297</v>
      </c>
      <c r="K55" s="360" t="s">
        <v>298</v>
      </c>
      <c r="L55" s="360" t="s">
        <v>299</v>
      </c>
    </row>
    <row r="56" spans="1:12" x14ac:dyDescent="0.25">
      <c r="A56" s="361"/>
      <c r="B56" s="490"/>
      <c r="C56" s="363" t="s">
        <v>301</v>
      </c>
      <c r="D56" s="363"/>
      <c r="E56" s="364"/>
      <c r="F56" s="364"/>
      <c r="G56" s="364"/>
      <c r="H56" s="364"/>
      <c r="I56" s="364"/>
      <c r="J56" s="364"/>
      <c r="K56" s="364"/>
      <c r="L56" s="365">
        <f>SUM(E56:K56)</f>
        <v>0</v>
      </c>
    </row>
    <row r="57" spans="1:12" x14ac:dyDescent="0.25">
      <c r="A57" s="358"/>
      <c r="B57" s="491"/>
      <c r="C57" s="363" t="s">
        <v>302</v>
      </c>
      <c r="D57" s="363"/>
      <c r="E57" s="364"/>
      <c r="F57" s="364"/>
      <c r="G57" s="364"/>
      <c r="H57" s="364"/>
      <c r="I57" s="364"/>
      <c r="J57" s="364"/>
      <c r="K57" s="364"/>
      <c r="L57" s="365">
        <f t="shared" ref="L57:L71" si="2">SUM(E57:K57)</f>
        <v>0</v>
      </c>
    </row>
    <row r="58" spans="1:12" x14ac:dyDescent="0.25">
      <c r="A58" s="358"/>
      <c r="B58" s="491"/>
      <c r="C58" s="363" t="s">
        <v>303</v>
      </c>
      <c r="D58" s="363"/>
      <c r="E58" s="364"/>
      <c r="F58" s="364"/>
      <c r="G58" s="364"/>
      <c r="H58" s="364"/>
      <c r="I58" s="364"/>
      <c r="J58" s="364"/>
      <c r="K58" s="364"/>
      <c r="L58" s="365">
        <f t="shared" si="2"/>
        <v>0</v>
      </c>
    </row>
    <row r="59" spans="1:12" x14ac:dyDescent="0.25">
      <c r="A59" s="358"/>
      <c r="B59" s="491"/>
      <c r="C59" s="363" t="s">
        <v>304</v>
      </c>
      <c r="D59" s="363"/>
      <c r="E59" s="364"/>
      <c r="F59" s="364"/>
      <c r="G59" s="364"/>
      <c r="H59" s="364"/>
      <c r="I59" s="364"/>
      <c r="J59" s="364"/>
      <c r="K59" s="364"/>
      <c r="L59" s="365">
        <f t="shared" si="2"/>
        <v>0</v>
      </c>
    </row>
    <row r="60" spans="1:12" x14ac:dyDescent="0.25">
      <c r="A60" s="358"/>
      <c r="B60" s="491"/>
      <c r="C60" s="363" t="s">
        <v>305</v>
      </c>
      <c r="D60" s="363"/>
      <c r="E60" s="364"/>
      <c r="F60" s="364"/>
      <c r="G60" s="364"/>
      <c r="H60" s="364"/>
      <c r="I60" s="364"/>
      <c r="J60" s="364"/>
      <c r="K60" s="364"/>
      <c r="L60" s="365">
        <f t="shared" si="2"/>
        <v>0</v>
      </c>
    </row>
    <row r="61" spans="1:12" x14ac:dyDescent="0.25">
      <c r="A61" s="358"/>
      <c r="B61" s="491">
        <v>1</v>
      </c>
      <c r="C61" s="363" t="s">
        <v>306</v>
      </c>
      <c r="D61" s="363"/>
      <c r="E61" s="364"/>
      <c r="F61" s="364"/>
      <c r="G61" s="364"/>
      <c r="H61" s="364">
        <v>1</v>
      </c>
      <c r="I61" s="364"/>
      <c r="J61" s="364"/>
      <c r="K61" s="364"/>
      <c r="L61" s="365">
        <f t="shared" si="2"/>
        <v>1</v>
      </c>
    </row>
    <row r="62" spans="1:12" x14ac:dyDescent="0.25">
      <c r="A62" s="358"/>
      <c r="B62" s="491"/>
      <c r="C62" s="363" t="s">
        <v>307</v>
      </c>
      <c r="D62" s="363"/>
      <c r="E62" s="364"/>
      <c r="F62" s="364"/>
      <c r="G62" s="364"/>
      <c r="H62" s="364"/>
      <c r="I62" s="364"/>
      <c r="J62" s="364"/>
      <c r="K62" s="364"/>
      <c r="L62" s="365">
        <f t="shared" si="2"/>
        <v>0</v>
      </c>
    </row>
    <row r="63" spans="1:12" x14ac:dyDescent="0.25">
      <c r="A63" s="358"/>
      <c r="B63" s="491"/>
      <c r="C63" s="363" t="s">
        <v>308</v>
      </c>
      <c r="D63" s="363"/>
      <c r="E63" s="364"/>
      <c r="F63" s="364"/>
      <c r="G63" s="364"/>
      <c r="H63" s="364"/>
      <c r="I63" s="364"/>
      <c r="J63" s="364"/>
      <c r="K63" s="364"/>
      <c r="L63" s="365">
        <f t="shared" si="2"/>
        <v>0</v>
      </c>
    </row>
    <row r="64" spans="1:12" x14ac:dyDescent="0.25">
      <c r="A64" s="358"/>
      <c r="B64" s="491"/>
      <c r="C64" s="363" t="s">
        <v>309</v>
      </c>
      <c r="D64" s="363"/>
      <c r="E64" s="364"/>
      <c r="F64" s="364"/>
      <c r="G64" s="364"/>
      <c r="H64" s="364"/>
      <c r="I64" s="364"/>
      <c r="J64" s="364"/>
      <c r="K64" s="364"/>
      <c r="L64" s="365">
        <f t="shared" si="2"/>
        <v>0</v>
      </c>
    </row>
    <row r="65" spans="1:12" x14ac:dyDescent="0.25">
      <c r="A65" s="358"/>
      <c r="B65" s="491"/>
      <c r="C65" s="366" t="s">
        <v>310</v>
      </c>
      <c r="D65" s="363"/>
      <c r="E65" s="364">
        <f t="shared" ref="E65:E66" si="3">1/7</f>
        <v>0.14285714285714285</v>
      </c>
      <c r="F65" s="364">
        <f t="shared" ref="F65:K66" si="4">1/7</f>
        <v>0.14285714285714285</v>
      </c>
      <c r="G65" s="364">
        <f t="shared" si="4"/>
        <v>0.14285714285714285</v>
      </c>
      <c r="H65" s="364">
        <f t="shared" si="4"/>
        <v>0.14285714285714285</v>
      </c>
      <c r="I65" s="364">
        <f t="shared" si="4"/>
        <v>0.14285714285714285</v>
      </c>
      <c r="J65" s="364">
        <f t="shared" si="4"/>
        <v>0.14285714285714285</v>
      </c>
      <c r="K65" s="364">
        <f t="shared" si="4"/>
        <v>0.14285714285714285</v>
      </c>
      <c r="L65" s="365">
        <f t="shared" si="2"/>
        <v>0.99999999999999978</v>
      </c>
    </row>
    <row r="66" spans="1:12" x14ac:dyDescent="0.25">
      <c r="A66" s="358"/>
      <c r="B66" s="491"/>
      <c r="C66" s="366" t="s">
        <v>311</v>
      </c>
      <c r="D66" s="363"/>
      <c r="E66" s="364">
        <f t="shared" si="3"/>
        <v>0.14285714285714285</v>
      </c>
      <c r="F66" s="364">
        <f t="shared" si="4"/>
        <v>0.14285714285714285</v>
      </c>
      <c r="G66" s="364">
        <f t="shared" si="4"/>
        <v>0.14285714285714285</v>
      </c>
      <c r="H66" s="364">
        <f t="shared" si="4"/>
        <v>0.14285714285714285</v>
      </c>
      <c r="I66" s="364">
        <f t="shared" si="4"/>
        <v>0.14285714285714285</v>
      </c>
      <c r="J66" s="364">
        <f t="shared" si="4"/>
        <v>0.14285714285714285</v>
      </c>
      <c r="K66" s="364">
        <f t="shared" si="4"/>
        <v>0.14285714285714285</v>
      </c>
      <c r="L66" s="365">
        <f t="shared" si="2"/>
        <v>0.99999999999999978</v>
      </c>
    </row>
    <row r="67" spans="1:12" x14ac:dyDescent="0.25">
      <c r="A67" s="358"/>
      <c r="B67" s="491"/>
      <c r="C67" s="366" t="s">
        <v>312</v>
      </c>
      <c r="D67" s="363"/>
      <c r="E67" s="364"/>
      <c r="F67" s="364"/>
      <c r="G67" s="364"/>
      <c r="H67" s="364"/>
      <c r="I67" s="364"/>
      <c r="J67" s="364"/>
      <c r="K67" s="364"/>
      <c r="L67" s="365">
        <f t="shared" si="2"/>
        <v>0</v>
      </c>
    </row>
    <row r="68" spans="1:12" x14ac:dyDescent="0.25">
      <c r="A68" s="358"/>
      <c r="B68" s="491"/>
      <c r="C68" s="363" t="s">
        <v>313</v>
      </c>
      <c r="D68" s="363"/>
      <c r="E68" s="364"/>
      <c r="F68" s="364"/>
      <c r="G68" s="364"/>
      <c r="H68" s="364"/>
      <c r="I68" s="364"/>
      <c r="J68" s="364"/>
      <c r="K68" s="364"/>
      <c r="L68" s="365">
        <f t="shared" si="2"/>
        <v>0</v>
      </c>
    </row>
    <row r="69" spans="1:12" x14ac:dyDescent="0.25">
      <c r="A69" s="358"/>
      <c r="B69" s="491"/>
      <c r="C69" s="363" t="s">
        <v>314</v>
      </c>
      <c r="D69" s="363"/>
      <c r="E69" s="364"/>
      <c r="F69" s="364"/>
      <c r="G69" s="364"/>
      <c r="H69" s="364"/>
      <c r="I69" s="364"/>
      <c r="J69" s="364"/>
      <c r="K69" s="364"/>
      <c r="L69" s="365">
        <f t="shared" si="2"/>
        <v>0</v>
      </c>
    </row>
    <row r="70" spans="1:12" x14ac:dyDescent="0.25">
      <c r="A70" s="358"/>
      <c r="B70" s="491"/>
      <c r="C70" s="363" t="s">
        <v>315</v>
      </c>
      <c r="D70" s="363"/>
      <c r="E70" s="364"/>
      <c r="F70" s="364"/>
      <c r="G70" s="364"/>
      <c r="H70" s="364"/>
      <c r="I70" s="364"/>
      <c r="J70" s="364"/>
      <c r="K70" s="364"/>
      <c r="L70" s="365">
        <f t="shared" si="2"/>
        <v>0</v>
      </c>
    </row>
    <row r="71" spans="1:12" x14ac:dyDescent="0.25">
      <c r="A71" s="358"/>
      <c r="B71" s="491">
        <f>SUM(B56:B70)</f>
        <v>1</v>
      </c>
      <c r="C71" s="367" t="s">
        <v>160</v>
      </c>
      <c r="D71" s="367"/>
      <c r="E71" s="368">
        <f>SUM(E56:E70)</f>
        <v>0.2857142857142857</v>
      </c>
      <c r="F71" s="368">
        <f t="shared" ref="F71:K71" si="5">SUM(F56:F70)</f>
        <v>0.2857142857142857</v>
      </c>
      <c r="G71" s="368">
        <f t="shared" si="5"/>
        <v>0.2857142857142857</v>
      </c>
      <c r="H71" s="368">
        <f t="shared" si="5"/>
        <v>1.2857142857142856</v>
      </c>
      <c r="I71" s="368">
        <f t="shared" si="5"/>
        <v>0.2857142857142857</v>
      </c>
      <c r="J71" s="368">
        <f t="shared" si="5"/>
        <v>0.2857142857142857</v>
      </c>
      <c r="K71" s="368">
        <f t="shared" si="5"/>
        <v>0.2857142857142857</v>
      </c>
      <c r="L71" s="368">
        <f t="shared" si="2"/>
        <v>2.9999999999999996</v>
      </c>
    </row>
    <row r="72" spans="1:12" x14ac:dyDescent="0.25">
      <c r="A72" s="358"/>
      <c r="B72" s="358"/>
      <c r="C72" s="358"/>
      <c r="D72" s="358"/>
      <c r="E72" s="358"/>
      <c r="F72" s="358"/>
      <c r="G72" s="358"/>
      <c r="H72" s="358"/>
      <c r="I72" s="358"/>
      <c r="J72" s="358"/>
      <c r="K72" s="358"/>
      <c r="L72" s="358"/>
    </row>
    <row r="73" spans="1:12" x14ac:dyDescent="0.25">
      <c r="A73" s="358"/>
      <c r="B73" s="358"/>
      <c r="C73" s="494" t="s">
        <v>316</v>
      </c>
      <c r="D73" s="494"/>
      <c r="E73" s="495">
        <f>$L$51-E71</f>
        <v>37.892857142857103</v>
      </c>
      <c r="F73" s="495">
        <f t="shared" ref="F73:K73" si="6">$L$51-F71</f>
        <v>37.892857142857103</v>
      </c>
      <c r="G73" s="495">
        <f t="shared" si="6"/>
        <v>37.892857142857103</v>
      </c>
      <c r="H73" s="495">
        <f t="shared" si="6"/>
        <v>36.892857142857103</v>
      </c>
      <c r="I73" s="495">
        <f t="shared" si="6"/>
        <v>37.892857142857103</v>
      </c>
      <c r="J73" s="495">
        <f t="shared" si="6"/>
        <v>37.892857142857103</v>
      </c>
      <c r="K73" s="495">
        <f t="shared" si="6"/>
        <v>37.892857142857103</v>
      </c>
      <c r="L73" s="368">
        <f t="shared" ref="L73:L74" si="7">SUM(E73:K73)</f>
        <v>264.24999999999972</v>
      </c>
    </row>
    <row r="74" spans="1:12" x14ac:dyDescent="0.25">
      <c r="A74" s="358"/>
      <c r="B74" s="358"/>
      <c r="C74" s="494" t="s">
        <v>317</v>
      </c>
      <c r="D74" s="494"/>
      <c r="E74" s="495">
        <f>E73+E71</f>
        <v>38.178571428571388</v>
      </c>
      <c r="F74" s="495">
        <f t="shared" ref="F74:K74" si="8">F73+F71</f>
        <v>38.178571428571388</v>
      </c>
      <c r="G74" s="495">
        <f t="shared" si="8"/>
        <v>38.178571428571388</v>
      </c>
      <c r="H74" s="495">
        <f t="shared" si="8"/>
        <v>38.178571428571388</v>
      </c>
      <c r="I74" s="495">
        <f t="shared" si="8"/>
        <v>38.178571428571388</v>
      </c>
      <c r="J74" s="495">
        <f t="shared" si="8"/>
        <v>38.178571428571388</v>
      </c>
      <c r="K74" s="495">
        <f t="shared" si="8"/>
        <v>38.178571428571388</v>
      </c>
      <c r="L74" s="368">
        <f t="shared" si="7"/>
        <v>267.24999999999972</v>
      </c>
    </row>
    <row r="75" spans="1:12" ht="15" x14ac:dyDescent="0.25">
      <c r="A75" s="352"/>
      <c r="B75" s="336"/>
      <c r="C75" s="352"/>
      <c r="D75" s="336"/>
      <c r="E75" s="369"/>
      <c r="F75" s="369"/>
      <c r="G75" s="369"/>
      <c r="H75" s="369"/>
      <c r="I75" s="369"/>
      <c r="J75" s="369"/>
      <c r="K75" s="369"/>
      <c r="L75" s="369"/>
    </row>
    <row r="76" spans="1:12" ht="15" x14ac:dyDescent="0.25">
      <c r="A76" s="352"/>
      <c r="B76" s="336"/>
      <c r="C76" s="352"/>
      <c r="D76" s="336"/>
      <c r="E76" s="369"/>
      <c r="F76" s="369"/>
      <c r="G76" s="369"/>
      <c r="H76" s="369"/>
      <c r="I76" s="369"/>
      <c r="J76" s="369"/>
      <c r="K76" s="369"/>
      <c r="L76" s="369"/>
    </row>
  </sheetData>
  <sheetProtection selectLockedCells="1"/>
  <mergeCells count="9">
    <mergeCell ref="A54:D54"/>
    <mergeCell ref="I52:L52"/>
    <mergeCell ref="F52:H52"/>
    <mergeCell ref="A1:L1"/>
    <mergeCell ref="E3:L3"/>
    <mergeCell ref="A5:B5"/>
    <mergeCell ref="A6:C6"/>
    <mergeCell ref="A21:C21"/>
    <mergeCell ref="A41:C41"/>
  </mergeCells>
  <pageMargins left="0.78740157480314965" right="0.78740157480314965" top="0.79166666666666663" bottom="0.98425196850393704" header="0.51181102362204722" footer="0.51181102362204722"/>
  <pageSetup paperSize="9" scale="55" orientation="portrait" horizontalDpi="4294967293" r:id="rId1"/>
  <headerFooter alignWithMargins="0">
    <oddHeader>&amp;CAusschreibung Reinigung Gemeinde Oberhaching 2026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tabColor rgb="FF0070C0"/>
  </sheetPr>
  <dimension ref="A1:AK52"/>
  <sheetViews>
    <sheetView zoomScale="50" zoomScaleNormal="50" zoomScaleSheetLayoutView="30" zoomScalePageLayoutView="30" workbookViewId="0">
      <selection activeCell="D3" sqref="D3"/>
    </sheetView>
  </sheetViews>
  <sheetFormatPr baseColWidth="10" defaultRowHeight="14.4" x14ac:dyDescent="0.3"/>
  <cols>
    <col min="1" max="1" width="48.33203125" customWidth="1"/>
    <col min="2" max="2" width="38.109375" customWidth="1"/>
    <col min="3" max="3" width="50.88671875" customWidth="1"/>
    <col min="4" max="4" width="46.44140625" customWidth="1"/>
    <col min="16" max="16" width="10.44140625" customWidth="1"/>
  </cols>
  <sheetData>
    <row r="1" spans="1:37" ht="34.5" customHeight="1" x14ac:dyDescent="0.3">
      <c r="A1" s="237" t="s">
        <v>996</v>
      </c>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9"/>
    </row>
    <row r="2" spans="1:37" ht="7.2" customHeight="1" thickBot="1" x14ac:dyDescent="0.35">
      <c r="A2" s="61"/>
      <c r="B2" s="61"/>
      <c r="C2" s="61" t="s">
        <v>0</v>
      </c>
      <c r="D2" s="61"/>
      <c r="E2" s="62" t="s">
        <v>710</v>
      </c>
      <c r="F2" s="62" t="s">
        <v>923</v>
      </c>
      <c r="G2" s="62" t="s">
        <v>667</v>
      </c>
      <c r="H2" s="62" t="s">
        <v>667</v>
      </c>
      <c r="I2" s="62" t="s">
        <v>923</v>
      </c>
      <c r="J2" s="62" t="s">
        <v>668</v>
      </c>
      <c r="K2" s="62" t="s">
        <v>875</v>
      </c>
      <c r="L2" s="62" t="s">
        <v>875</v>
      </c>
      <c r="M2" s="62" t="s">
        <v>889</v>
      </c>
      <c r="N2" s="62" t="s">
        <v>889</v>
      </c>
      <c r="O2" s="62" t="s">
        <v>899</v>
      </c>
      <c r="P2" s="62" t="s">
        <v>671</v>
      </c>
      <c r="Q2" s="62" t="s">
        <v>678</v>
      </c>
      <c r="R2" s="62" t="s">
        <v>924</v>
      </c>
      <c r="S2" s="62" t="s">
        <v>924</v>
      </c>
      <c r="T2" s="62" t="s">
        <v>925</v>
      </c>
      <c r="U2" s="62" t="s">
        <v>924</v>
      </c>
      <c r="V2" s="62" t="s">
        <v>750</v>
      </c>
      <c r="W2" s="62" t="s">
        <v>926</v>
      </c>
      <c r="X2" s="62" t="s">
        <v>926</v>
      </c>
      <c r="Y2" s="62" t="s">
        <v>676</v>
      </c>
      <c r="Z2" s="62" t="s">
        <v>891</v>
      </c>
      <c r="AA2" s="62" t="s">
        <v>891</v>
      </c>
      <c r="AB2" s="62" t="s">
        <v>891</v>
      </c>
      <c r="AC2" s="62" t="s">
        <v>675</v>
      </c>
      <c r="AD2" s="62" t="s">
        <v>927</v>
      </c>
      <c r="AE2" s="62" t="s">
        <v>896</v>
      </c>
      <c r="AF2" s="62" t="s">
        <v>896</v>
      </c>
      <c r="AG2" s="62" t="s">
        <v>674</v>
      </c>
      <c r="AH2" s="62" t="s">
        <v>900</v>
      </c>
      <c r="AI2" s="62" t="s">
        <v>928</v>
      </c>
      <c r="AJ2" s="62" t="s">
        <v>926</v>
      </c>
      <c r="AK2" s="240" t="s">
        <v>682</v>
      </c>
    </row>
    <row r="3" spans="1:37" ht="163.80000000000001" customHeight="1" thickBot="1" x14ac:dyDescent="0.35">
      <c r="A3" s="599" t="s">
        <v>359</v>
      </c>
      <c r="B3" s="628" t="s">
        <v>1004</v>
      </c>
      <c r="C3" s="629"/>
      <c r="D3" s="330"/>
      <c r="E3" s="242" t="s">
        <v>855</v>
      </c>
      <c r="F3" s="242" t="s">
        <v>174</v>
      </c>
      <c r="G3" s="242" t="s">
        <v>174</v>
      </c>
      <c r="H3" s="242" t="s">
        <v>174</v>
      </c>
      <c r="I3" s="242" t="s">
        <v>686</v>
      </c>
      <c r="J3" s="242" t="s">
        <v>175</v>
      </c>
      <c r="K3" s="242" t="s">
        <v>743</v>
      </c>
      <c r="L3" s="242" t="s">
        <v>742</v>
      </c>
      <c r="M3" s="242" t="s">
        <v>176</v>
      </c>
      <c r="N3" s="242" t="s">
        <v>176</v>
      </c>
      <c r="O3" s="242" t="s">
        <v>176</v>
      </c>
      <c r="P3" s="242" t="s">
        <v>176</v>
      </c>
      <c r="Q3" s="243" t="s">
        <v>177</v>
      </c>
      <c r="R3" s="242" t="s">
        <v>178</v>
      </c>
      <c r="S3" s="242" t="s">
        <v>178</v>
      </c>
      <c r="T3" s="242" t="s">
        <v>178</v>
      </c>
      <c r="U3" s="242" t="s">
        <v>456</v>
      </c>
      <c r="V3" s="243" t="s">
        <v>179</v>
      </c>
      <c r="W3" s="242" t="s">
        <v>180</v>
      </c>
      <c r="X3" s="242" t="s">
        <v>180</v>
      </c>
      <c r="Y3" s="245" t="s">
        <v>165</v>
      </c>
      <c r="Z3" s="245" t="s">
        <v>165</v>
      </c>
      <c r="AA3" s="245" t="s">
        <v>165</v>
      </c>
      <c r="AB3" s="245" t="s">
        <v>165</v>
      </c>
      <c r="AC3" s="245" t="s">
        <v>166</v>
      </c>
      <c r="AD3" s="246" t="s">
        <v>183</v>
      </c>
      <c r="AE3" s="246" t="s">
        <v>184</v>
      </c>
      <c r="AF3" s="246" t="s">
        <v>184</v>
      </c>
      <c r="AG3" s="242" t="s">
        <v>746</v>
      </c>
      <c r="AH3" s="242" t="s">
        <v>269</v>
      </c>
      <c r="AI3" s="246" t="s">
        <v>679</v>
      </c>
      <c r="AJ3" s="246" t="s">
        <v>886</v>
      </c>
      <c r="AK3" s="246" t="s">
        <v>247</v>
      </c>
    </row>
    <row r="4" spans="1:37" ht="25.5" customHeight="1" thickBot="1" x14ac:dyDescent="0.35">
      <c r="A4" s="247"/>
      <c r="B4" s="248"/>
      <c r="C4" s="248"/>
      <c r="D4" s="249" t="s">
        <v>185</v>
      </c>
      <c r="E4" s="250" t="s">
        <v>186</v>
      </c>
      <c r="F4" s="250" t="s">
        <v>187</v>
      </c>
      <c r="G4" s="250" t="s">
        <v>187</v>
      </c>
      <c r="H4" s="250" t="s">
        <v>187</v>
      </c>
      <c r="I4" s="250" t="s">
        <v>188</v>
      </c>
      <c r="J4" s="250" t="s">
        <v>189</v>
      </c>
      <c r="K4" s="250" t="s">
        <v>190</v>
      </c>
      <c r="L4" s="250" t="s">
        <v>744</v>
      </c>
      <c r="M4" s="250" t="s">
        <v>191</v>
      </c>
      <c r="N4" s="250" t="s">
        <v>191</v>
      </c>
      <c r="O4" s="251" t="s">
        <v>191</v>
      </c>
      <c r="P4" s="250" t="s">
        <v>191</v>
      </c>
      <c r="Q4" s="250" t="s">
        <v>192</v>
      </c>
      <c r="R4" s="250" t="s">
        <v>193</v>
      </c>
      <c r="S4" s="250" t="s">
        <v>193</v>
      </c>
      <c r="T4" s="250" t="s">
        <v>193</v>
      </c>
      <c r="U4" s="250" t="s">
        <v>681</v>
      </c>
      <c r="V4" s="250" t="s">
        <v>194</v>
      </c>
      <c r="W4" s="250" t="s">
        <v>195</v>
      </c>
      <c r="X4" s="250" t="s">
        <v>195</v>
      </c>
      <c r="Y4" s="250" t="s">
        <v>196</v>
      </c>
      <c r="Z4" s="250" t="s">
        <v>196</v>
      </c>
      <c r="AA4" s="250" t="s">
        <v>196</v>
      </c>
      <c r="AB4" s="250" t="s">
        <v>196</v>
      </c>
      <c r="AC4" s="250" t="s">
        <v>197</v>
      </c>
      <c r="AD4" s="250" t="s">
        <v>198</v>
      </c>
      <c r="AE4" s="250" t="s">
        <v>200</v>
      </c>
      <c r="AF4" s="250" t="s">
        <v>200</v>
      </c>
      <c r="AG4" s="250" t="s">
        <v>201</v>
      </c>
      <c r="AH4" s="250" t="s">
        <v>202</v>
      </c>
      <c r="AI4" s="250" t="s">
        <v>203</v>
      </c>
      <c r="AJ4" s="250" t="s">
        <v>885</v>
      </c>
      <c r="AK4" s="252" t="s">
        <v>16</v>
      </c>
    </row>
    <row r="5" spans="1:37" ht="31.5" customHeight="1" thickBot="1" x14ac:dyDescent="0.35">
      <c r="A5" s="61"/>
      <c r="B5" s="61"/>
      <c r="C5" s="61"/>
      <c r="D5" s="253" t="s">
        <v>204</v>
      </c>
      <c r="E5" s="254" t="s">
        <v>62</v>
      </c>
      <c r="F5" s="254" t="s">
        <v>62</v>
      </c>
      <c r="G5" s="254" t="s">
        <v>30</v>
      </c>
      <c r="H5" s="254" t="s">
        <v>31</v>
      </c>
      <c r="I5" s="254" t="s">
        <v>62</v>
      </c>
      <c r="J5" s="254" t="s">
        <v>67</v>
      </c>
      <c r="K5" s="254" t="s">
        <v>61</v>
      </c>
      <c r="L5" s="254" t="s">
        <v>61</v>
      </c>
      <c r="M5" s="254" t="s">
        <v>67</v>
      </c>
      <c r="N5" s="254" t="s">
        <v>61</v>
      </c>
      <c r="O5" s="255" t="s">
        <v>30</v>
      </c>
      <c r="P5" s="254" t="s">
        <v>31</v>
      </c>
      <c r="Q5" s="254" t="s">
        <v>62</v>
      </c>
      <c r="R5" s="254" t="s">
        <v>67</v>
      </c>
      <c r="S5" s="254" t="s">
        <v>61</v>
      </c>
      <c r="T5" s="254" t="s">
        <v>31</v>
      </c>
      <c r="U5" s="254" t="s">
        <v>62</v>
      </c>
      <c r="V5" s="254" t="s">
        <v>62</v>
      </c>
      <c r="W5" s="254" t="s">
        <v>67</v>
      </c>
      <c r="X5" s="254" t="s">
        <v>62</v>
      </c>
      <c r="Y5" s="254" t="s">
        <v>31</v>
      </c>
      <c r="Z5" s="254" t="s">
        <v>52</v>
      </c>
      <c r="AA5" s="254" t="s">
        <v>51</v>
      </c>
      <c r="AB5" s="254" t="s">
        <v>54</v>
      </c>
      <c r="AC5" s="254" t="s">
        <v>54</v>
      </c>
      <c r="AD5" s="254" t="s">
        <v>67</v>
      </c>
      <c r="AE5" s="254" t="s">
        <v>67</v>
      </c>
      <c r="AF5" s="254" t="s">
        <v>61</v>
      </c>
      <c r="AG5" s="254" t="s">
        <v>62</v>
      </c>
      <c r="AH5" s="254" t="s">
        <v>62</v>
      </c>
      <c r="AI5" s="254" t="s">
        <v>30</v>
      </c>
      <c r="AJ5" s="254" t="s">
        <v>67</v>
      </c>
      <c r="AK5" s="256" t="s">
        <v>68</v>
      </c>
    </row>
    <row r="6" spans="1:37" ht="29.4" customHeight="1" thickBot="1" x14ac:dyDescent="0.35">
      <c r="A6" s="64" t="s">
        <v>13</v>
      </c>
      <c r="B6" s="65" t="s">
        <v>14</v>
      </c>
      <c r="C6" s="65" t="s">
        <v>319</v>
      </c>
      <c r="D6" s="65" t="s">
        <v>15</v>
      </c>
      <c r="E6" s="257" t="s">
        <v>895</v>
      </c>
      <c r="F6" s="257" t="s">
        <v>667</v>
      </c>
      <c r="G6" s="257" t="s">
        <v>668</v>
      </c>
      <c r="H6" s="257" t="s">
        <v>875</v>
      </c>
      <c r="I6" s="257" t="s">
        <v>889</v>
      </c>
      <c r="J6" s="259" t="s">
        <v>899</v>
      </c>
      <c r="K6" s="259" t="s">
        <v>678</v>
      </c>
      <c r="L6" s="259" t="s">
        <v>750</v>
      </c>
      <c r="M6" s="259" t="s">
        <v>902</v>
      </c>
      <c r="N6" s="259" t="s">
        <v>676</v>
      </c>
      <c r="O6" s="257" t="s">
        <v>675</v>
      </c>
      <c r="P6" s="257" t="s">
        <v>862</v>
      </c>
      <c r="Q6" s="257" t="s">
        <v>903</v>
      </c>
      <c r="R6" s="257" t="s">
        <v>896</v>
      </c>
      <c r="S6" s="257" t="s">
        <v>674</v>
      </c>
      <c r="T6" s="257" t="s">
        <v>876</v>
      </c>
      <c r="U6" s="257" t="s">
        <v>682</v>
      </c>
      <c r="V6" s="257" t="s">
        <v>897</v>
      </c>
      <c r="W6" s="257" t="s">
        <v>898</v>
      </c>
      <c r="X6" s="257" t="s">
        <v>901</v>
      </c>
      <c r="Y6" s="260" t="s">
        <v>689</v>
      </c>
      <c r="Z6" s="259" t="s">
        <v>691</v>
      </c>
      <c r="AA6" s="259" t="s">
        <v>690</v>
      </c>
      <c r="AB6" s="259" t="s">
        <v>761</v>
      </c>
      <c r="AC6" s="259" t="s">
        <v>709</v>
      </c>
      <c r="AD6" s="259" t="s">
        <v>692</v>
      </c>
      <c r="AE6" s="259" t="s">
        <v>673</v>
      </c>
      <c r="AF6" s="259" t="s">
        <v>670</v>
      </c>
      <c r="AG6" s="259" t="s">
        <v>890</v>
      </c>
      <c r="AH6" s="259" t="s">
        <v>893</v>
      </c>
      <c r="AI6" s="257" t="s">
        <v>687</v>
      </c>
      <c r="AJ6" s="257" t="s">
        <v>887</v>
      </c>
      <c r="AK6" s="261" t="s">
        <v>708</v>
      </c>
    </row>
    <row r="7" spans="1:37" ht="40.200000000000003" customHeight="1" thickBot="1" x14ac:dyDescent="0.35">
      <c r="A7" s="262" t="s">
        <v>17</v>
      </c>
      <c r="B7" s="263" t="s">
        <v>205</v>
      </c>
      <c r="C7" s="263"/>
      <c r="D7" s="263"/>
      <c r="E7" s="264"/>
      <c r="F7" s="264"/>
      <c r="G7" s="264"/>
      <c r="H7" s="264"/>
      <c r="I7" s="264"/>
      <c r="J7" s="264"/>
      <c r="K7" s="264"/>
      <c r="L7" s="264"/>
      <c r="M7" s="264"/>
      <c r="N7" s="264"/>
      <c r="O7" s="264"/>
      <c r="P7" s="264"/>
      <c r="Q7" s="264"/>
      <c r="R7" s="264"/>
      <c r="S7" s="264"/>
      <c r="T7" s="264"/>
      <c r="U7" s="264"/>
      <c r="V7" s="264"/>
      <c r="W7" s="264"/>
      <c r="X7" s="264"/>
      <c r="Y7" s="265"/>
      <c r="Z7" s="264"/>
      <c r="AA7" s="264"/>
      <c r="AB7" s="264"/>
      <c r="AC7" s="264"/>
      <c r="AD7" s="264"/>
      <c r="AE7" s="264"/>
      <c r="AF7" s="264"/>
      <c r="AG7" s="264"/>
      <c r="AH7" s="264"/>
      <c r="AI7" s="264"/>
      <c r="AJ7" s="264"/>
      <c r="AK7" s="265"/>
    </row>
    <row r="8" spans="1:37" ht="50.1" customHeight="1" x14ac:dyDescent="0.3">
      <c r="A8" s="266" t="s">
        <v>18</v>
      </c>
      <c r="B8" s="266" t="s">
        <v>19</v>
      </c>
      <c r="C8" s="266" t="s">
        <v>320</v>
      </c>
      <c r="D8" s="267" t="s">
        <v>206</v>
      </c>
      <c r="E8" s="268" t="s">
        <v>62</v>
      </c>
      <c r="F8" s="268" t="s">
        <v>62</v>
      </c>
      <c r="G8" s="269" t="s">
        <v>30</v>
      </c>
      <c r="H8" s="269" t="s">
        <v>31</v>
      </c>
      <c r="I8" s="268" t="s">
        <v>62</v>
      </c>
      <c r="J8" s="269" t="s">
        <v>67</v>
      </c>
      <c r="K8" s="269" t="s">
        <v>61</v>
      </c>
      <c r="L8" s="269" t="s">
        <v>61</v>
      </c>
      <c r="M8" s="269" t="s">
        <v>67</v>
      </c>
      <c r="N8" s="269" t="s">
        <v>61</v>
      </c>
      <c r="O8" s="269" t="s">
        <v>30</v>
      </c>
      <c r="P8" s="269" t="s">
        <v>31</v>
      </c>
      <c r="Q8" s="269" t="s">
        <v>62</v>
      </c>
      <c r="R8" s="269" t="s">
        <v>67</v>
      </c>
      <c r="S8" s="269" t="s">
        <v>61</v>
      </c>
      <c r="T8" s="269" t="s">
        <v>31</v>
      </c>
      <c r="U8" s="269" t="s">
        <v>62</v>
      </c>
      <c r="V8" s="269" t="s">
        <v>62</v>
      </c>
      <c r="W8" s="269" t="s">
        <v>67</v>
      </c>
      <c r="X8" s="269" t="s">
        <v>62</v>
      </c>
      <c r="Y8" s="270" t="s">
        <v>31</v>
      </c>
      <c r="Z8" s="269" t="s">
        <v>52</v>
      </c>
      <c r="AA8" s="269" t="s">
        <v>51</v>
      </c>
      <c r="AB8" s="269" t="s">
        <v>54</v>
      </c>
      <c r="AC8" s="268" t="s">
        <v>54</v>
      </c>
      <c r="AD8" s="268" t="s">
        <v>67</v>
      </c>
      <c r="AE8" s="268" t="s">
        <v>67</v>
      </c>
      <c r="AF8" s="268" t="s">
        <v>61</v>
      </c>
      <c r="AG8" s="268" t="s">
        <v>62</v>
      </c>
      <c r="AH8" s="268" t="s">
        <v>62</v>
      </c>
      <c r="AI8" s="268" t="s">
        <v>30</v>
      </c>
      <c r="AJ8" s="269" t="s">
        <v>67</v>
      </c>
      <c r="AK8" s="270"/>
    </row>
    <row r="9" spans="1:37" ht="92.4" customHeight="1" x14ac:dyDescent="0.3">
      <c r="A9" s="266" t="s">
        <v>207</v>
      </c>
      <c r="B9" s="266" t="s">
        <v>973</v>
      </c>
      <c r="C9" s="266" t="s">
        <v>321</v>
      </c>
      <c r="D9" s="267" t="s">
        <v>208</v>
      </c>
      <c r="E9" s="271" t="s">
        <v>62</v>
      </c>
      <c r="F9" s="271" t="s">
        <v>62</v>
      </c>
      <c r="G9" s="272" t="s">
        <v>30</v>
      </c>
      <c r="H9" s="272" t="s">
        <v>31</v>
      </c>
      <c r="I9" s="271" t="s">
        <v>62</v>
      </c>
      <c r="J9" s="272" t="s">
        <v>67</v>
      </c>
      <c r="K9" s="272" t="s">
        <v>61</v>
      </c>
      <c r="L9" s="272" t="s">
        <v>61</v>
      </c>
      <c r="M9" s="272" t="s">
        <v>67</v>
      </c>
      <c r="N9" s="272" t="s">
        <v>61</v>
      </c>
      <c r="O9" s="272" t="s">
        <v>30</v>
      </c>
      <c r="P9" s="272" t="s">
        <v>31</v>
      </c>
      <c r="Q9" s="272" t="s">
        <v>62</v>
      </c>
      <c r="R9" s="272" t="s">
        <v>67</v>
      </c>
      <c r="S9" s="272" t="s">
        <v>61</v>
      </c>
      <c r="T9" s="272" t="s">
        <v>31</v>
      </c>
      <c r="U9" s="272" t="s">
        <v>62</v>
      </c>
      <c r="V9" s="272" t="s">
        <v>62</v>
      </c>
      <c r="W9" s="272" t="s">
        <v>67</v>
      </c>
      <c r="X9" s="272" t="s">
        <v>62</v>
      </c>
      <c r="Y9" s="273" t="s">
        <v>31</v>
      </c>
      <c r="Z9" s="272" t="s">
        <v>52</v>
      </c>
      <c r="AA9" s="272" t="s">
        <v>51</v>
      </c>
      <c r="AB9" s="272" t="s">
        <v>54</v>
      </c>
      <c r="AC9" s="271" t="s">
        <v>54</v>
      </c>
      <c r="AD9" s="271" t="s">
        <v>67</v>
      </c>
      <c r="AE9" s="271" t="s">
        <v>67</v>
      </c>
      <c r="AF9" s="271" t="s">
        <v>61</v>
      </c>
      <c r="AG9" s="271" t="s">
        <v>62</v>
      </c>
      <c r="AH9" s="271" t="s">
        <v>62</v>
      </c>
      <c r="AI9" s="271" t="s">
        <v>30</v>
      </c>
      <c r="AJ9" s="272" t="s">
        <v>67</v>
      </c>
      <c r="AK9" s="274"/>
    </row>
    <row r="10" spans="1:37" ht="50.1" customHeight="1" x14ac:dyDescent="0.3">
      <c r="A10" s="266" t="s">
        <v>209</v>
      </c>
      <c r="B10" s="266" t="s">
        <v>21</v>
      </c>
      <c r="C10" s="266" t="s">
        <v>322</v>
      </c>
      <c r="D10" s="275" t="s">
        <v>210</v>
      </c>
      <c r="E10" s="268" t="s">
        <v>62</v>
      </c>
      <c r="F10" s="268" t="s">
        <v>62</v>
      </c>
      <c r="G10" s="71" t="s">
        <v>30</v>
      </c>
      <c r="H10" s="71" t="s">
        <v>31</v>
      </c>
      <c r="I10" s="268" t="s">
        <v>62</v>
      </c>
      <c r="J10" s="71"/>
      <c r="K10" s="71" t="s">
        <v>61</v>
      </c>
      <c r="L10" s="71" t="s">
        <v>61</v>
      </c>
      <c r="M10" s="71" t="s">
        <v>67</v>
      </c>
      <c r="N10" s="71" t="s">
        <v>61</v>
      </c>
      <c r="O10" s="71" t="s">
        <v>30</v>
      </c>
      <c r="P10" s="71" t="s">
        <v>31</v>
      </c>
      <c r="Q10" s="71" t="s">
        <v>62</v>
      </c>
      <c r="R10" s="71" t="s">
        <v>67</v>
      </c>
      <c r="S10" s="71" t="s">
        <v>61</v>
      </c>
      <c r="T10" s="71" t="s">
        <v>31</v>
      </c>
      <c r="U10" s="71"/>
      <c r="V10" s="71" t="s">
        <v>62</v>
      </c>
      <c r="W10" s="71" t="s">
        <v>67</v>
      </c>
      <c r="X10" s="71" t="s">
        <v>62</v>
      </c>
      <c r="Y10" s="276" t="s">
        <v>31</v>
      </c>
      <c r="Z10" s="71" t="s">
        <v>52</v>
      </c>
      <c r="AA10" s="71" t="s">
        <v>51</v>
      </c>
      <c r="AB10" s="71" t="s">
        <v>54</v>
      </c>
      <c r="AC10" s="70" t="s">
        <v>54</v>
      </c>
      <c r="AD10" s="70"/>
      <c r="AE10" s="70"/>
      <c r="AF10" s="70"/>
      <c r="AG10" s="70" t="s">
        <v>62</v>
      </c>
      <c r="AH10" s="70" t="s">
        <v>62</v>
      </c>
      <c r="AI10" s="70" t="s">
        <v>30</v>
      </c>
      <c r="AJ10" s="71" t="s">
        <v>67</v>
      </c>
      <c r="AK10" s="276"/>
    </row>
    <row r="11" spans="1:37" ht="50.1" customHeight="1" x14ac:dyDescent="0.3">
      <c r="A11" s="266" t="s">
        <v>211</v>
      </c>
      <c r="B11" s="266" t="s">
        <v>288</v>
      </c>
      <c r="C11" s="266" t="s">
        <v>838</v>
      </c>
      <c r="D11" s="277"/>
      <c r="E11" s="271"/>
      <c r="F11" s="271"/>
      <c r="G11" s="272"/>
      <c r="H11" s="272"/>
      <c r="I11" s="271"/>
      <c r="J11" s="272" t="s">
        <v>30</v>
      </c>
      <c r="K11" s="272"/>
      <c r="L11" s="272"/>
      <c r="M11" s="272"/>
      <c r="N11" s="272"/>
      <c r="O11" s="272"/>
      <c r="P11" s="272"/>
      <c r="Q11" s="272"/>
      <c r="R11" s="272"/>
      <c r="S11" s="272"/>
      <c r="T11" s="272"/>
      <c r="U11" s="272"/>
      <c r="V11" s="272"/>
      <c r="W11" s="272"/>
      <c r="X11" s="272"/>
      <c r="Y11" s="274"/>
      <c r="Z11" s="272"/>
      <c r="AA11" s="272"/>
      <c r="AB11" s="272"/>
      <c r="AC11" s="271"/>
      <c r="AD11" s="271"/>
      <c r="AE11" s="271" t="s">
        <v>30</v>
      </c>
      <c r="AF11" s="271" t="s">
        <v>30</v>
      </c>
      <c r="AG11" s="271"/>
      <c r="AH11" s="271"/>
      <c r="AI11" s="271"/>
      <c r="AJ11" s="272"/>
      <c r="AK11" s="274"/>
    </row>
    <row r="12" spans="1:37" ht="50.1" customHeight="1" x14ac:dyDescent="0.3">
      <c r="A12" s="266" t="s">
        <v>212</v>
      </c>
      <c r="B12" s="266" t="s">
        <v>918</v>
      </c>
      <c r="C12" s="266" t="s">
        <v>323</v>
      </c>
      <c r="D12" s="277"/>
      <c r="E12" s="70" t="s">
        <v>30</v>
      </c>
      <c r="F12" s="70" t="s">
        <v>30</v>
      </c>
      <c r="G12" s="71" t="s">
        <v>30</v>
      </c>
      <c r="H12" s="71" t="s">
        <v>31</v>
      </c>
      <c r="I12" s="70" t="s">
        <v>30</v>
      </c>
      <c r="J12" s="71" t="s">
        <v>30</v>
      </c>
      <c r="K12" s="71" t="s">
        <v>30</v>
      </c>
      <c r="L12" s="71" t="s">
        <v>30</v>
      </c>
      <c r="M12" s="71" t="s">
        <v>30</v>
      </c>
      <c r="N12" s="71" t="s">
        <v>30</v>
      </c>
      <c r="O12" s="71" t="s">
        <v>30</v>
      </c>
      <c r="P12" s="71" t="s">
        <v>31</v>
      </c>
      <c r="Q12" s="71" t="s">
        <v>30</v>
      </c>
      <c r="R12" s="71" t="s">
        <v>30</v>
      </c>
      <c r="S12" s="71" t="s">
        <v>30</v>
      </c>
      <c r="T12" s="71" t="s">
        <v>31</v>
      </c>
      <c r="U12" s="71" t="s">
        <v>30</v>
      </c>
      <c r="V12" s="71" t="s">
        <v>30</v>
      </c>
      <c r="W12" s="71" t="s">
        <v>30</v>
      </c>
      <c r="X12" s="71" t="s">
        <v>30</v>
      </c>
      <c r="Y12" s="276" t="s">
        <v>31</v>
      </c>
      <c r="Z12" s="71" t="s">
        <v>52</v>
      </c>
      <c r="AA12" s="71" t="s">
        <v>51</v>
      </c>
      <c r="AB12" s="71" t="s">
        <v>54</v>
      </c>
      <c r="AC12" s="70" t="s">
        <v>54</v>
      </c>
      <c r="AD12" s="70" t="s">
        <v>30</v>
      </c>
      <c r="AE12" s="70" t="s">
        <v>30</v>
      </c>
      <c r="AF12" s="70" t="s">
        <v>30</v>
      </c>
      <c r="AG12" s="70" t="s">
        <v>30</v>
      </c>
      <c r="AH12" s="70" t="s">
        <v>30</v>
      </c>
      <c r="AI12" s="70" t="s">
        <v>30</v>
      </c>
      <c r="AJ12" s="71" t="s">
        <v>30</v>
      </c>
      <c r="AK12" s="276"/>
    </row>
    <row r="13" spans="1:37" ht="50.1" customHeight="1" thickBot="1" x14ac:dyDescent="0.35">
      <c r="A13" s="266" t="s">
        <v>213</v>
      </c>
      <c r="B13" s="266" t="s">
        <v>22</v>
      </c>
      <c r="C13" s="266" t="s">
        <v>324</v>
      </c>
      <c r="D13" s="277" t="s">
        <v>23</v>
      </c>
      <c r="E13" s="278"/>
      <c r="F13" s="278"/>
      <c r="G13" s="279"/>
      <c r="H13" s="279"/>
      <c r="I13" s="278"/>
      <c r="J13" s="272"/>
      <c r="K13" s="272" t="s">
        <v>61</v>
      </c>
      <c r="L13" s="272" t="s">
        <v>61</v>
      </c>
      <c r="M13" s="272"/>
      <c r="N13" s="272"/>
      <c r="O13" s="272"/>
      <c r="P13" s="272"/>
      <c r="Q13" s="272"/>
      <c r="R13" s="272"/>
      <c r="S13" s="272"/>
      <c r="T13" s="272"/>
      <c r="U13" s="272"/>
      <c r="V13" s="272"/>
      <c r="W13" s="272"/>
      <c r="X13" s="272"/>
      <c r="Y13" s="536"/>
      <c r="Z13" s="537"/>
      <c r="AA13" s="537"/>
      <c r="AB13" s="537"/>
      <c r="AC13" s="536"/>
      <c r="AD13" s="536"/>
      <c r="AE13" s="536"/>
      <c r="AF13" s="536"/>
      <c r="AG13" s="535" t="s">
        <v>62</v>
      </c>
      <c r="AH13" s="535" t="s">
        <v>62</v>
      </c>
      <c r="AI13" s="278"/>
      <c r="AJ13" s="272"/>
      <c r="AK13" s="280"/>
    </row>
    <row r="14" spans="1:37" ht="16.2" thickBot="1" x14ac:dyDescent="0.35">
      <c r="A14" s="262" t="s">
        <v>24</v>
      </c>
      <c r="B14" s="262" t="s">
        <v>214</v>
      </c>
      <c r="C14" s="262"/>
      <c r="D14" s="262"/>
      <c r="E14" s="281"/>
      <c r="F14" s="281"/>
      <c r="G14" s="281"/>
      <c r="H14" s="281"/>
      <c r="I14" s="281"/>
      <c r="J14" s="234"/>
      <c r="K14" s="234"/>
      <c r="L14" s="234"/>
      <c r="M14" s="234"/>
      <c r="N14" s="234"/>
      <c r="O14" s="234"/>
      <c r="P14" s="234"/>
      <c r="Q14" s="234"/>
      <c r="R14" s="234"/>
      <c r="S14" s="234"/>
      <c r="T14" s="234"/>
      <c r="U14" s="234"/>
      <c r="V14" s="234"/>
      <c r="W14" s="234"/>
      <c r="X14" s="234"/>
      <c r="Y14" s="281"/>
      <c r="Z14" s="281"/>
      <c r="AA14" s="281"/>
      <c r="AB14" s="281"/>
      <c r="AC14" s="281"/>
      <c r="AD14" s="281"/>
      <c r="AE14" s="281"/>
      <c r="AF14" s="281"/>
      <c r="AG14" s="281"/>
      <c r="AH14" s="281"/>
      <c r="AI14" s="281"/>
      <c r="AJ14" s="234"/>
      <c r="AK14" s="283"/>
    </row>
    <row r="15" spans="1:37" ht="69" customHeight="1" x14ac:dyDescent="0.3">
      <c r="A15" s="266" t="s">
        <v>25</v>
      </c>
      <c r="B15" s="266" t="s">
        <v>26</v>
      </c>
      <c r="C15" s="266" t="s">
        <v>325</v>
      </c>
      <c r="D15" s="275" t="s">
        <v>215</v>
      </c>
      <c r="E15" s="268" t="s">
        <v>62</v>
      </c>
      <c r="F15" s="268" t="s">
        <v>62</v>
      </c>
      <c r="G15" s="66" t="s">
        <v>30</v>
      </c>
      <c r="H15" s="66" t="s">
        <v>31</v>
      </c>
      <c r="I15" s="268" t="s">
        <v>62</v>
      </c>
      <c r="J15" s="71" t="s">
        <v>67</v>
      </c>
      <c r="K15" s="71" t="s">
        <v>61</v>
      </c>
      <c r="L15" s="71" t="s">
        <v>61</v>
      </c>
      <c r="M15" s="71" t="s">
        <v>67</v>
      </c>
      <c r="N15" s="71" t="s">
        <v>61</v>
      </c>
      <c r="O15" s="71" t="s">
        <v>30</v>
      </c>
      <c r="P15" s="71" t="s">
        <v>31</v>
      </c>
      <c r="Q15" s="71" t="s">
        <v>62</v>
      </c>
      <c r="R15" s="71" t="s">
        <v>67</v>
      </c>
      <c r="S15" s="71" t="s">
        <v>61</v>
      </c>
      <c r="T15" s="71" t="s">
        <v>31</v>
      </c>
      <c r="U15" s="71" t="s">
        <v>62</v>
      </c>
      <c r="V15" s="71" t="s">
        <v>62</v>
      </c>
      <c r="W15" s="71" t="s">
        <v>67</v>
      </c>
      <c r="X15" s="71" t="s">
        <v>62</v>
      </c>
      <c r="Y15" s="276" t="s">
        <v>31</v>
      </c>
      <c r="Z15" s="71" t="s">
        <v>52</v>
      </c>
      <c r="AA15" s="71" t="s">
        <v>51</v>
      </c>
      <c r="AB15" s="71" t="s">
        <v>54</v>
      </c>
      <c r="AC15" s="268" t="s">
        <v>54</v>
      </c>
      <c r="AD15" s="268" t="s">
        <v>67</v>
      </c>
      <c r="AE15" s="268" t="s">
        <v>67</v>
      </c>
      <c r="AF15" s="268" t="s">
        <v>61</v>
      </c>
      <c r="AG15" s="268" t="s">
        <v>62</v>
      </c>
      <c r="AH15" s="268" t="s">
        <v>62</v>
      </c>
      <c r="AI15" s="284" t="s">
        <v>30</v>
      </c>
      <c r="AJ15" s="71" t="s">
        <v>67</v>
      </c>
      <c r="AK15" s="285"/>
    </row>
    <row r="16" spans="1:37" ht="62.25" customHeight="1" x14ac:dyDescent="0.3">
      <c r="A16" s="266" t="s">
        <v>27</v>
      </c>
      <c r="B16" s="286" t="s">
        <v>28</v>
      </c>
      <c r="C16" s="286" t="s">
        <v>326</v>
      </c>
      <c r="D16" s="287"/>
      <c r="E16" s="67" t="s">
        <v>62</v>
      </c>
      <c r="F16" s="67" t="s">
        <v>62</v>
      </c>
      <c r="G16" s="68" t="s">
        <v>30</v>
      </c>
      <c r="H16" s="68" t="s">
        <v>31</v>
      </c>
      <c r="I16" s="67" t="s">
        <v>62</v>
      </c>
      <c r="J16" s="68" t="s">
        <v>67</v>
      </c>
      <c r="K16" s="68" t="s">
        <v>61</v>
      </c>
      <c r="L16" s="68" t="s">
        <v>61</v>
      </c>
      <c r="M16" s="68" t="s">
        <v>67</v>
      </c>
      <c r="N16" s="68" t="s">
        <v>61</v>
      </c>
      <c r="O16" s="68" t="s">
        <v>30</v>
      </c>
      <c r="P16" s="68" t="s">
        <v>31</v>
      </c>
      <c r="Q16" s="68"/>
      <c r="R16" s="68"/>
      <c r="S16" s="68"/>
      <c r="T16" s="68"/>
      <c r="U16" s="68"/>
      <c r="V16" s="68" t="s">
        <v>62</v>
      </c>
      <c r="W16" s="68" t="s">
        <v>67</v>
      </c>
      <c r="X16" s="68" t="s">
        <v>62</v>
      </c>
      <c r="Y16" s="273" t="s">
        <v>31</v>
      </c>
      <c r="Z16" s="68"/>
      <c r="AA16" s="68"/>
      <c r="AB16" s="68"/>
      <c r="AC16" s="67"/>
      <c r="AD16" s="67"/>
      <c r="AE16" s="67" t="s">
        <v>67</v>
      </c>
      <c r="AF16" s="67" t="s">
        <v>61</v>
      </c>
      <c r="AG16" s="67" t="s">
        <v>62</v>
      </c>
      <c r="AH16" s="67" t="s">
        <v>62</v>
      </c>
      <c r="AI16" s="67" t="s">
        <v>30</v>
      </c>
      <c r="AJ16" s="68" t="s">
        <v>67</v>
      </c>
      <c r="AK16" s="273"/>
    </row>
    <row r="17" spans="1:37" ht="50.1" customHeight="1" x14ac:dyDescent="0.3">
      <c r="A17" s="266" t="s">
        <v>29</v>
      </c>
      <c r="B17" s="266" t="s">
        <v>240</v>
      </c>
      <c r="C17" s="266" t="s">
        <v>964</v>
      </c>
      <c r="D17" s="275"/>
      <c r="E17" s="70" t="s">
        <v>30</v>
      </c>
      <c r="F17" s="70" t="s">
        <v>30</v>
      </c>
      <c r="G17" s="70" t="s">
        <v>30</v>
      </c>
      <c r="H17" s="70" t="s">
        <v>31</v>
      </c>
      <c r="I17" s="70" t="s">
        <v>30</v>
      </c>
      <c r="J17" s="70" t="s">
        <v>30</v>
      </c>
      <c r="K17" s="70" t="s">
        <v>30</v>
      </c>
      <c r="L17" s="70" t="s">
        <v>30</v>
      </c>
      <c r="M17" s="70" t="s">
        <v>30</v>
      </c>
      <c r="N17" s="70" t="s">
        <v>30</v>
      </c>
      <c r="O17" s="70" t="s">
        <v>30</v>
      </c>
      <c r="P17" s="70" t="s">
        <v>31</v>
      </c>
      <c r="Q17" s="70"/>
      <c r="R17" s="70"/>
      <c r="S17" s="70"/>
      <c r="T17" s="71"/>
      <c r="U17" s="70"/>
      <c r="V17" s="71" t="s">
        <v>30</v>
      </c>
      <c r="W17" s="71" t="s">
        <v>30</v>
      </c>
      <c r="X17" s="71" t="s">
        <v>30</v>
      </c>
      <c r="Y17" s="276" t="s">
        <v>31</v>
      </c>
      <c r="Z17" s="70"/>
      <c r="AA17" s="70"/>
      <c r="AB17" s="70"/>
      <c r="AC17" s="70"/>
      <c r="AD17" s="70"/>
      <c r="AE17" s="70" t="s">
        <v>30</v>
      </c>
      <c r="AF17" s="70" t="s">
        <v>30</v>
      </c>
      <c r="AG17" s="70" t="s">
        <v>30</v>
      </c>
      <c r="AH17" s="70" t="s">
        <v>30</v>
      </c>
      <c r="AI17" s="70" t="s">
        <v>30</v>
      </c>
      <c r="AJ17" s="71" t="s">
        <v>30</v>
      </c>
      <c r="AK17" s="276"/>
    </row>
    <row r="18" spans="1:37" ht="66.599999999999994" customHeight="1" x14ac:dyDescent="0.3">
      <c r="A18" s="266" t="s">
        <v>216</v>
      </c>
      <c r="B18" s="266" t="s">
        <v>950</v>
      </c>
      <c r="C18" s="557" t="s">
        <v>327</v>
      </c>
      <c r="D18" s="267" t="s">
        <v>241</v>
      </c>
      <c r="E18" s="68" t="s">
        <v>62</v>
      </c>
      <c r="F18" s="68" t="s">
        <v>62</v>
      </c>
      <c r="G18" s="68" t="s">
        <v>30</v>
      </c>
      <c r="H18" s="68" t="s">
        <v>31</v>
      </c>
      <c r="I18" s="68" t="s">
        <v>62</v>
      </c>
      <c r="J18" s="68" t="s">
        <v>67</v>
      </c>
      <c r="K18" s="68" t="s">
        <v>61</v>
      </c>
      <c r="L18" s="68" t="s">
        <v>61</v>
      </c>
      <c r="M18" s="68" t="s">
        <v>67</v>
      </c>
      <c r="N18" s="68" t="s">
        <v>61</v>
      </c>
      <c r="O18" s="68" t="s">
        <v>30</v>
      </c>
      <c r="P18" s="68" t="s">
        <v>31</v>
      </c>
      <c r="Q18" s="68"/>
      <c r="R18" s="68"/>
      <c r="S18" s="68"/>
      <c r="T18" s="68"/>
      <c r="U18" s="68" t="s">
        <v>62</v>
      </c>
      <c r="V18" s="68" t="s">
        <v>62</v>
      </c>
      <c r="W18" s="68" t="s">
        <v>67</v>
      </c>
      <c r="X18" s="68" t="s">
        <v>62</v>
      </c>
      <c r="Y18" s="273" t="s">
        <v>31</v>
      </c>
      <c r="Z18" s="68" t="s">
        <v>52</v>
      </c>
      <c r="AA18" s="68" t="s">
        <v>51</v>
      </c>
      <c r="AB18" s="68" t="s">
        <v>54</v>
      </c>
      <c r="AC18" s="68" t="s">
        <v>54</v>
      </c>
      <c r="AD18" s="68" t="s">
        <v>67</v>
      </c>
      <c r="AE18" s="68" t="s">
        <v>67</v>
      </c>
      <c r="AF18" s="68" t="s">
        <v>61</v>
      </c>
      <c r="AG18" s="68" t="s">
        <v>62</v>
      </c>
      <c r="AH18" s="68" t="s">
        <v>62</v>
      </c>
      <c r="AI18" s="68" t="s">
        <v>30</v>
      </c>
      <c r="AJ18" s="68" t="s">
        <v>67</v>
      </c>
      <c r="AK18" s="288"/>
    </row>
    <row r="19" spans="1:37" ht="50.1" customHeight="1" x14ac:dyDescent="0.3">
      <c r="A19" s="266" t="s">
        <v>32</v>
      </c>
      <c r="B19" s="266" t="s">
        <v>43</v>
      </c>
      <c r="C19" s="266" t="s">
        <v>963</v>
      </c>
      <c r="D19" s="277" t="s">
        <v>285</v>
      </c>
      <c r="E19" s="268" t="s">
        <v>62</v>
      </c>
      <c r="F19" s="268" t="s">
        <v>62</v>
      </c>
      <c r="G19" s="71" t="s">
        <v>30</v>
      </c>
      <c r="H19" s="71" t="s">
        <v>31</v>
      </c>
      <c r="I19" s="268" t="s">
        <v>62</v>
      </c>
      <c r="J19" s="70" t="s">
        <v>67</v>
      </c>
      <c r="K19" s="70" t="s">
        <v>61</v>
      </c>
      <c r="L19" s="70" t="s">
        <v>61</v>
      </c>
      <c r="M19" s="70" t="s">
        <v>67</v>
      </c>
      <c r="N19" s="70" t="s">
        <v>61</v>
      </c>
      <c r="O19" s="70" t="s">
        <v>30</v>
      </c>
      <c r="P19" s="71" t="s">
        <v>31</v>
      </c>
      <c r="Q19" s="70" t="s">
        <v>62</v>
      </c>
      <c r="R19" s="70" t="s">
        <v>30</v>
      </c>
      <c r="S19" s="70" t="s">
        <v>30</v>
      </c>
      <c r="T19" s="71" t="s">
        <v>31</v>
      </c>
      <c r="U19" s="70" t="s">
        <v>30</v>
      </c>
      <c r="V19" s="71" t="s">
        <v>62</v>
      </c>
      <c r="W19" s="71" t="s">
        <v>67</v>
      </c>
      <c r="X19" s="71" t="s">
        <v>62</v>
      </c>
      <c r="Y19" s="276" t="s">
        <v>31</v>
      </c>
      <c r="Z19" s="70" t="s">
        <v>52</v>
      </c>
      <c r="AA19" s="70" t="s">
        <v>51</v>
      </c>
      <c r="AB19" s="70" t="s">
        <v>54</v>
      </c>
      <c r="AC19" s="70" t="s">
        <v>54</v>
      </c>
      <c r="AD19" s="70" t="s">
        <v>67</v>
      </c>
      <c r="AE19" s="70" t="s">
        <v>67</v>
      </c>
      <c r="AF19" s="70" t="s">
        <v>61</v>
      </c>
      <c r="AG19" s="268" t="s">
        <v>62</v>
      </c>
      <c r="AH19" s="268" t="s">
        <v>62</v>
      </c>
      <c r="AI19" s="70" t="s">
        <v>30</v>
      </c>
      <c r="AJ19" s="71" t="s">
        <v>67</v>
      </c>
      <c r="AK19" s="276"/>
    </row>
    <row r="20" spans="1:37" ht="50.1" customHeight="1" x14ac:dyDescent="0.3">
      <c r="A20" s="266" t="s">
        <v>217</v>
      </c>
      <c r="B20" s="266" t="s">
        <v>918</v>
      </c>
      <c r="C20" s="266" t="s">
        <v>328</v>
      </c>
      <c r="D20" s="267" t="s">
        <v>218</v>
      </c>
      <c r="E20" s="68" t="s">
        <v>62</v>
      </c>
      <c r="F20" s="68" t="s">
        <v>62</v>
      </c>
      <c r="G20" s="68" t="s">
        <v>30</v>
      </c>
      <c r="H20" s="68" t="s">
        <v>31</v>
      </c>
      <c r="I20" s="68" t="s">
        <v>62</v>
      </c>
      <c r="J20" s="68" t="s">
        <v>67</v>
      </c>
      <c r="K20" s="68" t="s">
        <v>61</v>
      </c>
      <c r="L20" s="68" t="s">
        <v>61</v>
      </c>
      <c r="M20" s="68" t="s">
        <v>67</v>
      </c>
      <c r="N20" s="68" t="s">
        <v>61</v>
      </c>
      <c r="O20" s="68" t="s">
        <v>30</v>
      </c>
      <c r="P20" s="68" t="s">
        <v>31</v>
      </c>
      <c r="Q20" s="68" t="s">
        <v>62</v>
      </c>
      <c r="R20" s="68" t="s">
        <v>67</v>
      </c>
      <c r="S20" s="68" t="s">
        <v>61</v>
      </c>
      <c r="T20" s="68" t="s">
        <v>31</v>
      </c>
      <c r="U20" s="68" t="s">
        <v>62</v>
      </c>
      <c r="V20" s="68" t="s">
        <v>62</v>
      </c>
      <c r="W20" s="68" t="s">
        <v>67</v>
      </c>
      <c r="X20" s="68" t="s">
        <v>62</v>
      </c>
      <c r="Y20" s="273" t="s">
        <v>31</v>
      </c>
      <c r="Z20" s="68" t="s">
        <v>52</v>
      </c>
      <c r="AA20" s="68" t="s">
        <v>51</v>
      </c>
      <c r="AB20" s="68" t="s">
        <v>54</v>
      </c>
      <c r="AC20" s="68" t="s">
        <v>54</v>
      </c>
      <c r="AD20" s="68" t="s">
        <v>67</v>
      </c>
      <c r="AE20" s="68" t="s">
        <v>67</v>
      </c>
      <c r="AF20" s="68" t="s">
        <v>61</v>
      </c>
      <c r="AG20" s="68" t="s">
        <v>62</v>
      </c>
      <c r="AH20" s="68" t="s">
        <v>62</v>
      </c>
      <c r="AI20" s="68" t="s">
        <v>30</v>
      </c>
      <c r="AJ20" s="68" t="s">
        <v>67</v>
      </c>
      <c r="AK20" s="288"/>
    </row>
    <row r="21" spans="1:37" ht="50.1" customHeight="1" x14ac:dyDescent="0.3">
      <c r="A21" s="266" t="s">
        <v>219</v>
      </c>
      <c r="B21" s="266" t="s">
        <v>220</v>
      </c>
      <c r="C21" s="266" t="s">
        <v>951</v>
      </c>
      <c r="D21" s="267" t="s">
        <v>221</v>
      </c>
      <c r="E21" s="268" t="s">
        <v>62</v>
      </c>
      <c r="F21" s="268" t="s">
        <v>62</v>
      </c>
      <c r="G21" s="71" t="s">
        <v>30</v>
      </c>
      <c r="H21" s="71" t="s">
        <v>31</v>
      </c>
      <c r="I21" s="268" t="s">
        <v>62</v>
      </c>
      <c r="J21" s="70" t="s">
        <v>67</v>
      </c>
      <c r="K21" s="70"/>
      <c r="L21" s="70"/>
      <c r="M21" s="70"/>
      <c r="N21" s="70"/>
      <c r="O21" s="70"/>
      <c r="P21" s="71"/>
      <c r="Q21" s="70"/>
      <c r="R21" s="70"/>
      <c r="S21" s="70"/>
      <c r="T21" s="71"/>
      <c r="U21" s="70"/>
      <c r="V21" s="71" t="s">
        <v>62</v>
      </c>
      <c r="W21" s="71" t="s">
        <v>67</v>
      </c>
      <c r="X21" s="71" t="s">
        <v>62</v>
      </c>
      <c r="Y21" s="276" t="s">
        <v>31</v>
      </c>
      <c r="Z21" s="70"/>
      <c r="AA21" s="70"/>
      <c r="AB21" s="70"/>
      <c r="AC21" s="70"/>
      <c r="AD21" s="70"/>
      <c r="AE21" s="70" t="s">
        <v>67</v>
      </c>
      <c r="AF21" s="70" t="s">
        <v>61</v>
      </c>
      <c r="AG21" s="268" t="s">
        <v>62</v>
      </c>
      <c r="AH21" s="268" t="s">
        <v>62</v>
      </c>
      <c r="AI21" s="70" t="s">
        <v>30</v>
      </c>
      <c r="AJ21" s="71" t="s">
        <v>67</v>
      </c>
      <c r="AK21" s="276"/>
    </row>
    <row r="22" spans="1:37" ht="60" customHeight="1" x14ac:dyDescent="0.3">
      <c r="A22" s="266" t="s">
        <v>34</v>
      </c>
      <c r="B22" s="266" t="s">
        <v>918</v>
      </c>
      <c r="C22" s="266" t="s">
        <v>962</v>
      </c>
      <c r="D22" s="277"/>
      <c r="E22" s="68" t="s">
        <v>62</v>
      </c>
      <c r="F22" s="68" t="s">
        <v>62</v>
      </c>
      <c r="G22" s="68" t="s">
        <v>30</v>
      </c>
      <c r="H22" s="68" t="s">
        <v>31</v>
      </c>
      <c r="I22" s="68" t="s">
        <v>62</v>
      </c>
      <c r="J22" s="68" t="s">
        <v>67</v>
      </c>
      <c r="K22" s="68" t="s">
        <v>61</v>
      </c>
      <c r="L22" s="68" t="s">
        <v>61</v>
      </c>
      <c r="M22" s="68" t="s">
        <v>30</v>
      </c>
      <c r="N22" s="68" t="s">
        <v>30</v>
      </c>
      <c r="O22" s="68" t="s">
        <v>30</v>
      </c>
      <c r="P22" s="68" t="s">
        <v>30</v>
      </c>
      <c r="Q22" s="68" t="s">
        <v>62</v>
      </c>
      <c r="R22" s="68"/>
      <c r="S22" s="68"/>
      <c r="T22" s="68"/>
      <c r="U22" s="68"/>
      <c r="V22" s="68" t="s">
        <v>62</v>
      </c>
      <c r="W22" s="68" t="s">
        <v>67</v>
      </c>
      <c r="X22" s="68" t="s">
        <v>62</v>
      </c>
      <c r="Y22" s="273" t="s">
        <v>31</v>
      </c>
      <c r="Z22" s="68"/>
      <c r="AA22" s="68"/>
      <c r="AB22" s="68"/>
      <c r="AC22" s="68"/>
      <c r="AD22" s="68" t="s">
        <v>67</v>
      </c>
      <c r="AE22" s="68" t="s">
        <v>67</v>
      </c>
      <c r="AF22" s="68" t="s">
        <v>61</v>
      </c>
      <c r="AG22" s="68" t="s">
        <v>62</v>
      </c>
      <c r="AH22" s="68" t="s">
        <v>62</v>
      </c>
      <c r="AI22" s="68" t="s">
        <v>30</v>
      </c>
      <c r="AJ22" s="68" t="s">
        <v>67</v>
      </c>
      <c r="AK22" s="288"/>
    </row>
    <row r="23" spans="1:37" ht="72.599999999999994" customHeight="1" x14ac:dyDescent="0.3">
      <c r="A23" s="266" t="s">
        <v>222</v>
      </c>
      <c r="B23" s="266" t="s">
        <v>918</v>
      </c>
      <c r="C23" s="266" t="s">
        <v>329</v>
      </c>
      <c r="D23" s="267" t="s">
        <v>975</v>
      </c>
      <c r="E23" s="268" t="s">
        <v>62</v>
      </c>
      <c r="F23" s="268" t="s">
        <v>62</v>
      </c>
      <c r="G23" s="71" t="s">
        <v>30</v>
      </c>
      <c r="H23" s="71" t="s">
        <v>31</v>
      </c>
      <c r="I23" s="268" t="s">
        <v>62</v>
      </c>
      <c r="J23" s="70" t="s">
        <v>67</v>
      </c>
      <c r="K23" s="70"/>
      <c r="L23" s="70"/>
      <c r="M23" s="70"/>
      <c r="N23" s="70"/>
      <c r="O23" s="70"/>
      <c r="P23" s="71"/>
      <c r="Q23" s="70"/>
      <c r="R23" s="70"/>
      <c r="S23" s="70"/>
      <c r="T23" s="71"/>
      <c r="U23" s="70"/>
      <c r="V23" s="71" t="s">
        <v>62</v>
      </c>
      <c r="W23" s="71" t="s">
        <v>67</v>
      </c>
      <c r="X23" s="71" t="s">
        <v>62</v>
      </c>
      <c r="Y23" s="276" t="s">
        <v>31</v>
      </c>
      <c r="Z23" s="70"/>
      <c r="AA23" s="70"/>
      <c r="AB23" s="70"/>
      <c r="AC23" s="70"/>
      <c r="AD23" s="70"/>
      <c r="AE23" s="70" t="s">
        <v>67</v>
      </c>
      <c r="AF23" s="70" t="s">
        <v>61</v>
      </c>
      <c r="AG23" s="268" t="s">
        <v>62</v>
      </c>
      <c r="AH23" s="268" t="s">
        <v>62</v>
      </c>
      <c r="AI23" s="70" t="s">
        <v>30</v>
      </c>
      <c r="AJ23" s="71" t="s">
        <v>67</v>
      </c>
      <c r="AK23" s="276"/>
    </row>
    <row r="24" spans="1:37" ht="75.599999999999994" customHeight="1" x14ac:dyDescent="0.3">
      <c r="A24" s="266" t="s">
        <v>223</v>
      </c>
      <c r="B24" s="266" t="s">
        <v>918</v>
      </c>
      <c r="C24" s="266" t="s">
        <v>961</v>
      </c>
      <c r="D24" s="267" t="s">
        <v>976</v>
      </c>
      <c r="E24" s="68" t="s">
        <v>62</v>
      </c>
      <c r="F24" s="68" t="s">
        <v>62</v>
      </c>
      <c r="G24" s="68" t="s">
        <v>30</v>
      </c>
      <c r="H24" s="68" t="s">
        <v>31</v>
      </c>
      <c r="I24" s="68" t="s">
        <v>62</v>
      </c>
      <c r="J24" s="68" t="s">
        <v>67</v>
      </c>
      <c r="K24" s="68"/>
      <c r="L24" s="68"/>
      <c r="M24" s="68"/>
      <c r="N24" s="68"/>
      <c r="O24" s="68"/>
      <c r="P24" s="68"/>
      <c r="Q24" s="68"/>
      <c r="R24" s="68"/>
      <c r="S24" s="68"/>
      <c r="T24" s="68"/>
      <c r="U24" s="68"/>
      <c r="V24" s="68" t="s">
        <v>62</v>
      </c>
      <c r="W24" s="68" t="s">
        <v>67</v>
      </c>
      <c r="X24" s="68" t="s">
        <v>62</v>
      </c>
      <c r="Y24" s="273" t="s">
        <v>31</v>
      </c>
      <c r="Z24" s="68"/>
      <c r="AA24" s="68"/>
      <c r="AB24" s="68"/>
      <c r="AC24" s="68"/>
      <c r="AD24" s="68"/>
      <c r="AE24" s="68" t="s">
        <v>67</v>
      </c>
      <c r="AF24" s="68" t="s">
        <v>61</v>
      </c>
      <c r="AG24" s="68" t="s">
        <v>62</v>
      </c>
      <c r="AH24" s="68" t="s">
        <v>62</v>
      </c>
      <c r="AI24" s="68" t="s">
        <v>30</v>
      </c>
      <c r="AJ24" s="68" t="s">
        <v>67</v>
      </c>
      <c r="AK24" s="288"/>
    </row>
    <row r="25" spans="1:37" ht="64.8" customHeight="1" x14ac:dyDescent="0.3">
      <c r="A25" s="266" t="s">
        <v>225</v>
      </c>
      <c r="B25" s="266" t="s">
        <v>918</v>
      </c>
      <c r="C25" s="266" t="s">
        <v>953</v>
      </c>
      <c r="D25" s="277"/>
      <c r="E25" s="70"/>
      <c r="F25" s="70"/>
      <c r="G25" s="71"/>
      <c r="H25" s="71"/>
      <c r="I25" s="70"/>
      <c r="J25" s="70" t="s">
        <v>67</v>
      </c>
      <c r="K25" s="70"/>
      <c r="L25" s="70"/>
      <c r="M25" s="70"/>
      <c r="N25" s="70"/>
      <c r="O25" s="70"/>
      <c r="P25" s="71"/>
      <c r="Q25" s="70"/>
      <c r="R25" s="70"/>
      <c r="S25" s="70"/>
      <c r="T25" s="71"/>
      <c r="U25" s="70"/>
      <c r="V25" s="71"/>
      <c r="W25" s="71"/>
      <c r="X25" s="71"/>
      <c r="Y25" s="276"/>
      <c r="Z25" s="70"/>
      <c r="AA25" s="70"/>
      <c r="AB25" s="70"/>
      <c r="AC25" s="70"/>
      <c r="AD25" s="70"/>
      <c r="AE25" s="70"/>
      <c r="AF25" s="70"/>
      <c r="AG25" s="70"/>
      <c r="AH25" s="70"/>
      <c r="AI25" s="70"/>
      <c r="AJ25" s="71"/>
      <c r="AK25" s="276"/>
    </row>
    <row r="26" spans="1:37" ht="64.2" customHeight="1" x14ac:dyDescent="0.3">
      <c r="A26" s="266" t="s">
        <v>35</v>
      </c>
      <c r="B26" s="266" t="s">
        <v>918</v>
      </c>
      <c r="C26" s="266" t="s">
        <v>960</v>
      </c>
      <c r="D26" s="277" t="s">
        <v>36</v>
      </c>
      <c r="E26" s="68" t="s">
        <v>62</v>
      </c>
      <c r="F26" s="68" t="s">
        <v>62</v>
      </c>
      <c r="G26" s="68" t="s">
        <v>30</v>
      </c>
      <c r="H26" s="68" t="s">
        <v>31</v>
      </c>
      <c r="I26" s="68" t="s">
        <v>62</v>
      </c>
      <c r="J26" s="68" t="s">
        <v>67</v>
      </c>
      <c r="K26" s="68"/>
      <c r="L26" s="68"/>
      <c r="M26" s="68"/>
      <c r="N26" s="68"/>
      <c r="O26" s="68"/>
      <c r="P26" s="68"/>
      <c r="Q26" s="68"/>
      <c r="R26" s="68"/>
      <c r="S26" s="68"/>
      <c r="T26" s="68"/>
      <c r="U26" s="68"/>
      <c r="V26" s="68" t="s">
        <v>62</v>
      </c>
      <c r="W26" s="68" t="s">
        <v>67</v>
      </c>
      <c r="X26" s="68" t="s">
        <v>62</v>
      </c>
      <c r="Y26" s="273" t="s">
        <v>31</v>
      </c>
      <c r="Z26" s="68" t="s">
        <v>52</v>
      </c>
      <c r="AA26" s="68" t="s">
        <v>51</v>
      </c>
      <c r="AB26" s="68" t="s">
        <v>54</v>
      </c>
      <c r="AC26" s="68" t="s">
        <v>54</v>
      </c>
      <c r="AD26" s="68"/>
      <c r="AE26" s="68" t="s">
        <v>67</v>
      </c>
      <c r="AF26" s="68" t="s">
        <v>61</v>
      </c>
      <c r="AG26" s="68" t="s">
        <v>62</v>
      </c>
      <c r="AH26" s="68" t="s">
        <v>62</v>
      </c>
      <c r="AI26" s="68" t="s">
        <v>30</v>
      </c>
      <c r="AJ26" s="68" t="s">
        <v>67</v>
      </c>
      <c r="AK26" s="288"/>
    </row>
    <row r="27" spans="1:37" ht="50.1" customHeight="1" x14ac:dyDescent="0.3">
      <c r="A27" s="266" t="s">
        <v>37</v>
      </c>
      <c r="B27" s="266" t="s">
        <v>918</v>
      </c>
      <c r="C27" s="266" t="s">
        <v>954</v>
      </c>
      <c r="D27" s="277" t="s">
        <v>226</v>
      </c>
      <c r="E27" s="70"/>
      <c r="F27" s="70"/>
      <c r="G27" s="71"/>
      <c r="H27" s="71"/>
      <c r="I27" s="70"/>
      <c r="J27" s="70"/>
      <c r="K27" s="70"/>
      <c r="L27" s="70"/>
      <c r="M27" s="70"/>
      <c r="N27" s="70"/>
      <c r="O27" s="70"/>
      <c r="P27" s="71"/>
      <c r="Q27" s="70"/>
      <c r="R27" s="70"/>
      <c r="S27" s="70"/>
      <c r="T27" s="71"/>
      <c r="U27" s="70"/>
      <c r="V27" s="71"/>
      <c r="W27" s="71"/>
      <c r="X27" s="71"/>
      <c r="Y27" s="276"/>
      <c r="Z27" s="70"/>
      <c r="AA27" s="70"/>
      <c r="AB27" s="70"/>
      <c r="AC27" s="70"/>
      <c r="AD27" s="70"/>
      <c r="AE27" s="70" t="s">
        <v>67</v>
      </c>
      <c r="AF27" s="70" t="s">
        <v>61</v>
      </c>
      <c r="AG27" s="70"/>
      <c r="AH27" s="70"/>
      <c r="AI27" s="70"/>
      <c r="AJ27" s="71"/>
      <c r="AK27" s="276"/>
    </row>
    <row r="28" spans="1:37" ht="50.1" customHeight="1" x14ac:dyDescent="0.3">
      <c r="A28" s="266" t="s">
        <v>227</v>
      </c>
      <c r="B28" s="266" t="s">
        <v>918</v>
      </c>
      <c r="C28" s="266" t="s">
        <v>330</v>
      </c>
      <c r="D28" s="267" t="s">
        <v>977</v>
      </c>
      <c r="E28" s="68" t="s">
        <v>62</v>
      </c>
      <c r="F28" s="68"/>
      <c r="G28" s="68"/>
      <c r="H28" s="68"/>
      <c r="I28" s="68" t="s">
        <v>62</v>
      </c>
      <c r="J28" s="68"/>
      <c r="K28" s="68"/>
      <c r="L28" s="68"/>
      <c r="M28" s="68"/>
      <c r="N28" s="68"/>
      <c r="O28" s="68"/>
      <c r="P28" s="68"/>
      <c r="Q28" s="68"/>
      <c r="R28" s="68"/>
      <c r="S28" s="68"/>
      <c r="T28" s="68"/>
      <c r="U28" s="68"/>
      <c r="V28" s="68" t="s">
        <v>62</v>
      </c>
      <c r="W28" s="68"/>
      <c r="X28" s="68"/>
      <c r="Y28" s="273"/>
      <c r="Z28" s="68"/>
      <c r="AA28" s="68"/>
      <c r="AB28" s="68"/>
      <c r="AC28" s="68"/>
      <c r="AD28" s="68"/>
      <c r="AE28" s="68"/>
      <c r="AF28" s="68"/>
      <c r="AG28" s="68"/>
      <c r="AH28" s="68"/>
      <c r="AI28" s="68"/>
      <c r="AJ28" s="68"/>
      <c r="AK28" s="288"/>
    </row>
    <row r="29" spans="1:37" ht="50.1" customHeight="1" x14ac:dyDescent="0.3">
      <c r="A29" s="266" t="s">
        <v>229</v>
      </c>
      <c r="B29" s="266" t="s">
        <v>918</v>
      </c>
      <c r="C29" s="266" t="s">
        <v>331</v>
      </c>
      <c r="D29" s="277"/>
      <c r="E29" s="70"/>
      <c r="F29" s="70"/>
      <c r="G29" s="71"/>
      <c r="H29" s="71"/>
      <c r="I29" s="70"/>
      <c r="J29" s="70"/>
      <c r="K29" s="70"/>
      <c r="L29" s="70"/>
      <c r="M29" s="70"/>
      <c r="N29" s="70"/>
      <c r="O29" s="70"/>
      <c r="P29" s="71"/>
      <c r="Q29" s="70"/>
      <c r="R29" s="70"/>
      <c r="S29" s="70"/>
      <c r="T29" s="71"/>
      <c r="U29" s="70"/>
      <c r="V29" s="71" t="s">
        <v>62</v>
      </c>
      <c r="W29" s="71"/>
      <c r="X29" s="71"/>
      <c r="Y29" s="276"/>
      <c r="Z29" s="70"/>
      <c r="AA29" s="70"/>
      <c r="AB29" s="70"/>
      <c r="AC29" s="70"/>
      <c r="AD29" s="70"/>
      <c r="AE29" s="70"/>
      <c r="AF29" s="70"/>
      <c r="AG29" s="268" t="s">
        <v>62</v>
      </c>
      <c r="AH29" s="268" t="s">
        <v>62</v>
      </c>
      <c r="AI29" s="70" t="s">
        <v>30</v>
      </c>
      <c r="AJ29" s="71"/>
      <c r="AK29" s="276"/>
    </row>
    <row r="30" spans="1:37" ht="50.1" customHeight="1" x14ac:dyDescent="0.3">
      <c r="A30" s="266" t="s">
        <v>230</v>
      </c>
      <c r="B30" s="266" t="s">
        <v>43</v>
      </c>
      <c r="C30" s="266" t="s">
        <v>332</v>
      </c>
      <c r="D30" s="267" t="s">
        <v>933</v>
      </c>
      <c r="E30" s="68"/>
      <c r="F30" s="68"/>
      <c r="G30" s="68"/>
      <c r="H30" s="68"/>
      <c r="I30" s="68"/>
      <c r="J30" s="68"/>
      <c r="K30" s="68"/>
      <c r="L30" s="68"/>
      <c r="M30" s="68"/>
      <c r="N30" s="68"/>
      <c r="O30" s="68"/>
      <c r="P30" s="68"/>
      <c r="Q30" s="68"/>
      <c r="R30" s="68"/>
      <c r="S30" s="68"/>
      <c r="T30" s="68"/>
      <c r="U30" s="68"/>
      <c r="V30" s="68"/>
      <c r="W30" s="68"/>
      <c r="X30" s="68"/>
      <c r="Y30" s="273"/>
      <c r="Z30" s="68"/>
      <c r="AA30" s="68"/>
      <c r="AB30" s="68"/>
      <c r="AC30" s="68"/>
      <c r="AD30" s="68" t="s">
        <v>30</v>
      </c>
      <c r="AE30" s="68"/>
      <c r="AF30" s="68"/>
      <c r="AG30" s="68"/>
      <c r="AH30" s="68"/>
      <c r="AI30" s="68"/>
      <c r="AJ30" s="68"/>
      <c r="AK30" s="288"/>
    </row>
    <row r="31" spans="1:37" ht="66.599999999999994" customHeight="1" x14ac:dyDescent="0.3">
      <c r="A31" s="266" t="s">
        <v>231</v>
      </c>
      <c r="B31" s="266" t="s">
        <v>918</v>
      </c>
      <c r="C31" s="266" t="s">
        <v>955</v>
      </c>
      <c r="D31" s="277"/>
      <c r="E31" s="70"/>
      <c r="F31" s="70"/>
      <c r="G31" s="71"/>
      <c r="H31" s="71"/>
      <c r="I31" s="70"/>
      <c r="J31" s="71"/>
      <c r="K31" s="71"/>
      <c r="L31" s="71"/>
      <c r="M31" s="71"/>
      <c r="N31" s="71"/>
      <c r="O31" s="71"/>
      <c r="P31" s="71"/>
      <c r="Q31" s="71" t="s">
        <v>62</v>
      </c>
      <c r="R31" s="71"/>
      <c r="S31" s="71"/>
      <c r="T31" s="71"/>
      <c r="U31" s="71" t="s">
        <v>30</v>
      </c>
      <c r="V31" s="71"/>
      <c r="W31" s="71"/>
      <c r="X31" s="71"/>
      <c r="Y31" s="276"/>
      <c r="Z31" s="71"/>
      <c r="AA31" s="71"/>
      <c r="AB31" s="71"/>
      <c r="AC31" s="70"/>
      <c r="AD31" s="70" t="s">
        <v>67</v>
      </c>
      <c r="AE31" s="70"/>
      <c r="AF31" s="70"/>
      <c r="AG31" s="70"/>
      <c r="AH31" s="70"/>
      <c r="AI31" s="70"/>
      <c r="AJ31" s="71"/>
      <c r="AK31" s="276"/>
    </row>
    <row r="32" spans="1:37" ht="70.2" customHeight="1" thickBot="1" x14ac:dyDescent="0.35">
      <c r="A32" s="266" t="s">
        <v>286</v>
      </c>
      <c r="B32" s="266" t="s">
        <v>287</v>
      </c>
      <c r="C32" s="266" t="s">
        <v>956</v>
      </c>
      <c r="D32" s="277" t="s">
        <v>285</v>
      </c>
      <c r="E32" s="68" t="s">
        <v>30</v>
      </c>
      <c r="F32" s="68" t="s">
        <v>30</v>
      </c>
      <c r="G32" s="68" t="s">
        <v>30</v>
      </c>
      <c r="H32" s="68" t="s">
        <v>31</v>
      </c>
      <c r="I32" s="68" t="s">
        <v>30</v>
      </c>
      <c r="J32" s="68"/>
      <c r="K32" s="68" t="s">
        <v>61</v>
      </c>
      <c r="L32" s="68"/>
      <c r="M32" s="68" t="s">
        <v>67</v>
      </c>
      <c r="N32" s="68" t="s">
        <v>61</v>
      </c>
      <c r="O32" s="68" t="s">
        <v>30</v>
      </c>
      <c r="P32" s="68" t="s">
        <v>31</v>
      </c>
      <c r="Q32" s="68"/>
      <c r="R32" s="68"/>
      <c r="S32" s="68"/>
      <c r="T32" s="68"/>
      <c r="U32" s="68"/>
      <c r="V32" s="68" t="s">
        <v>30</v>
      </c>
      <c r="W32" s="68" t="s">
        <v>67</v>
      </c>
      <c r="X32" s="68" t="s">
        <v>62</v>
      </c>
      <c r="Y32" s="273"/>
      <c r="Z32" s="68"/>
      <c r="AA32" s="68"/>
      <c r="AB32" s="68"/>
      <c r="AC32" s="68"/>
      <c r="AD32" s="68" t="s">
        <v>30</v>
      </c>
      <c r="AE32" s="68"/>
      <c r="AF32" s="68"/>
      <c r="AG32" s="68" t="s">
        <v>62</v>
      </c>
      <c r="AH32" s="68" t="s">
        <v>62</v>
      </c>
      <c r="AI32" s="68" t="s">
        <v>30</v>
      </c>
      <c r="AJ32" s="68" t="s">
        <v>30</v>
      </c>
      <c r="AK32" s="288"/>
    </row>
    <row r="33" spans="1:37" ht="24" customHeight="1" thickBot="1" x14ac:dyDescent="0.35">
      <c r="A33" s="262" t="s">
        <v>38</v>
      </c>
      <c r="B33" s="262" t="s">
        <v>232</v>
      </c>
      <c r="C33" s="262"/>
      <c r="D33" s="262"/>
      <c r="E33" s="289"/>
      <c r="F33" s="289"/>
      <c r="G33" s="289"/>
      <c r="H33" s="289"/>
      <c r="I33" s="289"/>
      <c r="J33" s="289"/>
      <c r="K33" s="289"/>
      <c r="L33" s="289"/>
      <c r="M33" s="289"/>
      <c r="N33" s="289"/>
      <c r="O33" s="289"/>
      <c r="P33" s="289"/>
      <c r="Q33" s="289"/>
      <c r="R33" s="289"/>
      <c r="S33" s="289"/>
      <c r="T33" s="289"/>
      <c r="U33" s="289"/>
      <c r="V33" s="289"/>
      <c r="W33" s="289"/>
      <c r="X33" s="289"/>
      <c r="Y33" s="290"/>
      <c r="Z33" s="289"/>
      <c r="AA33" s="289"/>
      <c r="AB33" s="289"/>
      <c r="AC33" s="289"/>
      <c r="AD33" s="289"/>
      <c r="AE33" s="289"/>
      <c r="AF33" s="289"/>
      <c r="AG33" s="289"/>
      <c r="AH33" s="289"/>
      <c r="AI33" s="289"/>
      <c r="AJ33" s="289"/>
      <c r="AK33" s="290"/>
    </row>
    <row r="34" spans="1:37" ht="76.8" customHeight="1" x14ac:dyDescent="0.3">
      <c r="A34" s="266" t="s">
        <v>33</v>
      </c>
      <c r="B34" s="266" t="s">
        <v>918</v>
      </c>
      <c r="C34" s="266" t="s">
        <v>333</v>
      </c>
      <c r="D34" s="267" t="s">
        <v>39</v>
      </c>
      <c r="E34" s="70" t="s">
        <v>31</v>
      </c>
      <c r="F34" s="70" t="s">
        <v>31</v>
      </c>
      <c r="G34" s="70" t="s">
        <v>31</v>
      </c>
      <c r="H34" s="70" t="s">
        <v>31</v>
      </c>
      <c r="I34" s="70" t="s">
        <v>31</v>
      </c>
      <c r="J34" s="70" t="s">
        <v>31</v>
      </c>
      <c r="K34" s="70" t="s">
        <v>31</v>
      </c>
      <c r="L34" s="70" t="s">
        <v>31</v>
      </c>
      <c r="M34" s="70" t="s">
        <v>31</v>
      </c>
      <c r="N34" s="70" t="s">
        <v>31</v>
      </c>
      <c r="O34" s="70" t="s">
        <v>31</v>
      </c>
      <c r="P34" s="70" t="s">
        <v>31</v>
      </c>
      <c r="Q34" s="70" t="s">
        <v>31</v>
      </c>
      <c r="R34" s="70" t="s">
        <v>31</v>
      </c>
      <c r="S34" s="70" t="s">
        <v>31</v>
      </c>
      <c r="T34" s="69" t="s">
        <v>31</v>
      </c>
      <c r="U34" s="70" t="s">
        <v>31</v>
      </c>
      <c r="V34" s="69" t="s">
        <v>31</v>
      </c>
      <c r="W34" s="69" t="s">
        <v>31</v>
      </c>
      <c r="X34" s="69" t="s">
        <v>31</v>
      </c>
      <c r="Y34" s="291" t="s">
        <v>31</v>
      </c>
      <c r="Z34" s="70" t="s">
        <v>52</v>
      </c>
      <c r="AA34" s="70" t="s">
        <v>51</v>
      </c>
      <c r="AB34" s="70" t="s">
        <v>54</v>
      </c>
      <c r="AC34" s="70" t="s">
        <v>54</v>
      </c>
      <c r="AD34" s="70" t="s">
        <v>31</v>
      </c>
      <c r="AE34" s="70" t="s">
        <v>30</v>
      </c>
      <c r="AF34" s="70" t="s">
        <v>30</v>
      </c>
      <c r="AG34" s="70" t="s">
        <v>31</v>
      </c>
      <c r="AH34" s="70" t="s">
        <v>31</v>
      </c>
      <c r="AI34" s="70" t="s">
        <v>31</v>
      </c>
      <c r="AJ34" s="69" t="s">
        <v>31</v>
      </c>
      <c r="AK34" s="276"/>
    </row>
    <row r="35" spans="1:37" ht="61.8" customHeight="1" x14ac:dyDescent="0.3">
      <c r="A35" s="266" t="s">
        <v>35</v>
      </c>
      <c r="B35" s="266" t="s">
        <v>918</v>
      </c>
      <c r="C35" s="266" t="s">
        <v>333</v>
      </c>
      <c r="D35" s="277" t="s">
        <v>40</v>
      </c>
      <c r="E35" s="67" t="s">
        <v>31</v>
      </c>
      <c r="F35" s="67" t="s">
        <v>31</v>
      </c>
      <c r="G35" s="67" t="s">
        <v>31</v>
      </c>
      <c r="H35" s="67" t="s">
        <v>31</v>
      </c>
      <c r="I35" s="67" t="s">
        <v>31</v>
      </c>
      <c r="J35" s="67" t="s">
        <v>30</v>
      </c>
      <c r="K35" s="68"/>
      <c r="L35" s="68"/>
      <c r="M35" s="68"/>
      <c r="N35" s="68"/>
      <c r="O35" s="68"/>
      <c r="P35" s="68"/>
      <c r="Q35" s="68"/>
      <c r="R35" s="68"/>
      <c r="S35" s="68"/>
      <c r="T35" s="68"/>
      <c r="U35" s="68"/>
      <c r="V35" s="68" t="s">
        <v>31</v>
      </c>
      <c r="W35" s="68" t="s">
        <v>31</v>
      </c>
      <c r="X35" s="68" t="s">
        <v>31</v>
      </c>
      <c r="Y35" s="273" t="s">
        <v>31</v>
      </c>
      <c r="Z35" s="68" t="s">
        <v>52</v>
      </c>
      <c r="AA35" s="68" t="s">
        <v>51</v>
      </c>
      <c r="AB35" s="68" t="s">
        <v>54</v>
      </c>
      <c r="AC35" s="67" t="s">
        <v>54</v>
      </c>
      <c r="AD35" s="67" t="s">
        <v>31</v>
      </c>
      <c r="AE35" s="67" t="s">
        <v>30</v>
      </c>
      <c r="AF35" s="67" t="s">
        <v>30</v>
      </c>
      <c r="AG35" s="67" t="s">
        <v>31</v>
      </c>
      <c r="AH35" s="67" t="s">
        <v>31</v>
      </c>
      <c r="AI35" s="67" t="s">
        <v>31</v>
      </c>
      <c r="AJ35" s="68" t="s">
        <v>31</v>
      </c>
      <c r="AK35" s="273"/>
    </row>
    <row r="36" spans="1:37" ht="51" customHeight="1" x14ac:dyDescent="0.3">
      <c r="A36" s="266" t="s">
        <v>45</v>
      </c>
      <c r="B36" s="266" t="s">
        <v>918</v>
      </c>
      <c r="C36" s="266" t="s">
        <v>333</v>
      </c>
      <c r="D36" s="267" t="s">
        <v>46</v>
      </c>
      <c r="E36" s="268" t="s">
        <v>31</v>
      </c>
      <c r="F36" s="268" t="s">
        <v>31</v>
      </c>
      <c r="G36" s="72" t="s">
        <v>31</v>
      </c>
      <c r="H36" s="72" t="s">
        <v>31</v>
      </c>
      <c r="I36" s="268" t="s">
        <v>31</v>
      </c>
      <c r="J36" s="72"/>
      <c r="K36" s="72" t="s">
        <v>31</v>
      </c>
      <c r="L36" s="72"/>
      <c r="M36" s="72"/>
      <c r="N36" s="72"/>
      <c r="O36" s="72"/>
      <c r="P36" s="72"/>
      <c r="Q36" s="72"/>
      <c r="R36" s="72"/>
      <c r="S36" s="72"/>
      <c r="T36" s="72"/>
      <c r="U36" s="72"/>
      <c r="V36" s="72" t="s">
        <v>31</v>
      </c>
      <c r="W36" s="72" t="s">
        <v>31</v>
      </c>
      <c r="X36" s="72" t="s">
        <v>31</v>
      </c>
      <c r="Y36" s="293" t="s">
        <v>31</v>
      </c>
      <c r="Z36" s="72" t="s">
        <v>52</v>
      </c>
      <c r="AA36" s="72" t="s">
        <v>51</v>
      </c>
      <c r="AB36" s="72" t="s">
        <v>54</v>
      </c>
      <c r="AC36" s="322" t="s">
        <v>54</v>
      </c>
      <c r="AD36" s="322" t="s">
        <v>31</v>
      </c>
      <c r="AE36" s="322"/>
      <c r="AF36" s="322"/>
      <c r="AG36" s="268" t="s">
        <v>31</v>
      </c>
      <c r="AH36" s="268" t="s">
        <v>31</v>
      </c>
      <c r="AI36" s="268" t="s">
        <v>31</v>
      </c>
      <c r="AJ36" s="72" t="s">
        <v>31</v>
      </c>
      <c r="AK36" s="270"/>
    </row>
    <row r="37" spans="1:37" ht="73.8" customHeight="1" x14ac:dyDescent="0.3">
      <c r="A37" s="266" t="s">
        <v>233</v>
      </c>
      <c r="B37" s="266" t="s">
        <v>919</v>
      </c>
      <c r="C37" s="266" t="s">
        <v>958</v>
      </c>
      <c r="D37" s="267" t="s">
        <v>957</v>
      </c>
      <c r="E37" s="67" t="s">
        <v>31</v>
      </c>
      <c r="F37" s="67" t="s">
        <v>31</v>
      </c>
      <c r="G37" s="68" t="s">
        <v>31</v>
      </c>
      <c r="H37" s="68" t="s">
        <v>31</v>
      </c>
      <c r="I37" s="67" t="s">
        <v>31</v>
      </c>
      <c r="J37" s="68" t="s">
        <v>31</v>
      </c>
      <c r="K37" s="68" t="s">
        <v>31</v>
      </c>
      <c r="L37" s="68"/>
      <c r="M37" s="68" t="s">
        <v>31</v>
      </c>
      <c r="N37" s="68" t="s">
        <v>31</v>
      </c>
      <c r="O37" s="68" t="s">
        <v>31</v>
      </c>
      <c r="P37" s="68" t="s">
        <v>31</v>
      </c>
      <c r="Q37" s="68"/>
      <c r="R37" s="68"/>
      <c r="S37" s="68"/>
      <c r="T37" s="68"/>
      <c r="U37" s="68"/>
      <c r="V37" s="68" t="s">
        <v>31</v>
      </c>
      <c r="W37" s="68" t="s">
        <v>31</v>
      </c>
      <c r="X37" s="68" t="s">
        <v>31</v>
      </c>
      <c r="Y37" s="273" t="s">
        <v>31</v>
      </c>
      <c r="Z37" s="68" t="s">
        <v>52</v>
      </c>
      <c r="AA37" s="68" t="s">
        <v>51</v>
      </c>
      <c r="AB37" s="68" t="s">
        <v>54</v>
      </c>
      <c r="AC37" s="67" t="s">
        <v>54</v>
      </c>
      <c r="AD37" s="67" t="s">
        <v>31</v>
      </c>
      <c r="AE37" s="67" t="s">
        <v>31</v>
      </c>
      <c r="AF37" s="67" t="s">
        <v>31</v>
      </c>
      <c r="AG37" s="67" t="s">
        <v>31</v>
      </c>
      <c r="AH37" s="67" t="s">
        <v>31</v>
      </c>
      <c r="AI37" s="67" t="s">
        <v>31</v>
      </c>
      <c r="AJ37" s="68" t="s">
        <v>31</v>
      </c>
      <c r="AK37" s="273"/>
    </row>
    <row r="38" spans="1:37" ht="66.599999999999994" customHeight="1" x14ac:dyDescent="0.3">
      <c r="A38" s="266" t="s">
        <v>41</v>
      </c>
      <c r="B38" s="266" t="s">
        <v>43</v>
      </c>
      <c r="C38" s="266" t="s">
        <v>959</v>
      </c>
      <c r="D38" s="277"/>
      <c r="E38" s="294"/>
      <c r="F38" s="294"/>
      <c r="G38" s="73"/>
      <c r="H38" s="73"/>
      <c r="I38" s="294"/>
      <c r="J38" s="554" t="s">
        <v>61</v>
      </c>
      <c r="K38" s="73" t="s">
        <v>31</v>
      </c>
      <c r="L38" s="73" t="s">
        <v>31</v>
      </c>
      <c r="M38" s="73" t="s">
        <v>31</v>
      </c>
      <c r="N38" s="73" t="s">
        <v>31</v>
      </c>
      <c r="O38" s="73" t="s">
        <v>31</v>
      </c>
      <c r="P38" s="73" t="s">
        <v>31</v>
      </c>
      <c r="Q38" s="73" t="s">
        <v>62</v>
      </c>
      <c r="R38" s="73" t="s">
        <v>67</v>
      </c>
      <c r="S38" s="73" t="s">
        <v>61</v>
      </c>
      <c r="T38" s="73" t="s">
        <v>31</v>
      </c>
      <c r="U38" s="73" t="s">
        <v>62</v>
      </c>
      <c r="V38" s="73" t="s">
        <v>30</v>
      </c>
      <c r="W38" s="73" t="s">
        <v>30</v>
      </c>
      <c r="X38" s="73" t="s">
        <v>31</v>
      </c>
      <c r="Y38" s="295" t="s">
        <v>31</v>
      </c>
      <c r="Z38" s="73" t="s">
        <v>52</v>
      </c>
      <c r="AA38" s="73" t="s">
        <v>51</v>
      </c>
      <c r="AB38" s="73" t="s">
        <v>54</v>
      </c>
      <c r="AC38" s="294" t="s">
        <v>54</v>
      </c>
      <c r="AD38" s="294" t="s">
        <v>67</v>
      </c>
      <c r="AE38" s="294" t="s">
        <v>30</v>
      </c>
      <c r="AF38" s="294" t="s">
        <v>30</v>
      </c>
      <c r="AG38" s="294"/>
      <c r="AH38" s="294"/>
      <c r="AI38" s="294"/>
      <c r="AJ38" s="73"/>
      <c r="AK38" s="295"/>
    </row>
    <row r="39" spans="1:37" ht="63" customHeight="1" thickBot="1" x14ac:dyDescent="0.35">
      <c r="A39" s="266" t="s">
        <v>42</v>
      </c>
      <c r="B39" s="266" t="s">
        <v>43</v>
      </c>
      <c r="C39" s="266" t="s">
        <v>972</v>
      </c>
      <c r="D39" s="277" t="s">
        <v>965</v>
      </c>
      <c r="E39" s="67" t="s">
        <v>31</v>
      </c>
      <c r="F39" s="67" t="s">
        <v>31</v>
      </c>
      <c r="G39" s="67" t="s">
        <v>31</v>
      </c>
      <c r="H39" s="67" t="s">
        <v>31</v>
      </c>
      <c r="I39" s="67" t="s">
        <v>31</v>
      </c>
      <c r="J39" s="67" t="s">
        <v>31</v>
      </c>
      <c r="K39" s="67" t="s">
        <v>31</v>
      </c>
      <c r="L39" s="67" t="s">
        <v>31</v>
      </c>
      <c r="M39" s="67" t="s">
        <v>31</v>
      </c>
      <c r="N39" s="67" t="s">
        <v>31</v>
      </c>
      <c r="O39" s="67" t="s">
        <v>31</v>
      </c>
      <c r="P39" s="67" t="s">
        <v>31</v>
      </c>
      <c r="Q39" s="67" t="s">
        <v>31</v>
      </c>
      <c r="R39" s="67" t="s">
        <v>31</v>
      </c>
      <c r="S39" s="67" t="s">
        <v>31</v>
      </c>
      <c r="T39" s="67" t="s">
        <v>31</v>
      </c>
      <c r="U39" s="67" t="s">
        <v>31</v>
      </c>
      <c r="V39" s="67" t="s">
        <v>31</v>
      </c>
      <c r="W39" s="67" t="s">
        <v>31</v>
      </c>
      <c r="X39" s="67" t="s">
        <v>31</v>
      </c>
      <c r="Y39" s="273" t="s">
        <v>31</v>
      </c>
      <c r="Z39" s="67" t="s">
        <v>52</v>
      </c>
      <c r="AA39" s="67" t="s">
        <v>51</v>
      </c>
      <c r="AB39" s="67" t="s">
        <v>54</v>
      </c>
      <c r="AC39" s="67" t="s">
        <v>54</v>
      </c>
      <c r="AD39" s="67" t="s">
        <v>31</v>
      </c>
      <c r="AE39" s="67" t="s">
        <v>31</v>
      </c>
      <c r="AF39" s="67" t="s">
        <v>31</v>
      </c>
      <c r="AG39" s="67" t="s">
        <v>31</v>
      </c>
      <c r="AH39" s="67" t="s">
        <v>31</v>
      </c>
      <c r="AI39" s="67" t="s">
        <v>31</v>
      </c>
      <c r="AJ39" s="67" t="s">
        <v>31</v>
      </c>
      <c r="AK39" s="273"/>
    </row>
    <row r="40" spans="1:37" ht="31.5" customHeight="1" thickBot="1" x14ac:dyDescent="0.35">
      <c r="A40" s="262" t="s">
        <v>44</v>
      </c>
      <c r="B40" s="262" t="s">
        <v>234</v>
      </c>
      <c r="C40" s="262"/>
      <c r="D40" s="262"/>
      <c r="E40" s="289"/>
      <c r="F40" s="289"/>
      <c r="G40" s="289"/>
      <c r="H40" s="289"/>
      <c r="I40" s="289"/>
      <c r="J40" s="289"/>
      <c r="K40" s="289"/>
      <c r="L40" s="289"/>
      <c r="M40" s="289"/>
      <c r="N40" s="289"/>
      <c r="O40" s="289"/>
      <c r="P40" s="289"/>
      <c r="Q40" s="289"/>
      <c r="R40" s="289"/>
      <c r="S40" s="289"/>
      <c r="T40" s="289"/>
      <c r="U40" s="289"/>
      <c r="V40" s="289"/>
      <c r="W40" s="289"/>
      <c r="X40" s="289"/>
      <c r="Y40" s="290"/>
      <c r="Z40" s="289"/>
      <c r="AA40" s="289"/>
      <c r="AB40" s="289"/>
      <c r="AC40" s="289"/>
      <c r="AD40" s="289"/>
      <c r="AE40" s="289"/>
      <c r="AF40" s="289"/>
      <c r="AG40" s="289"/>
      <c r="AH40" s="289"/>
      <c r="AI40" s="289"/>
      <c r="AJ40" s="289"/>
      <c r="AK40" s="290"/>
    </row>
    <row r="41" spans="1:37" ht="50.1" customHeight="1" x14ac:dyDescent="0.3">
      <c r="A41" s="266" t="s">
        <v>47</v>
      </c>
      <c r="B41" s="286" t="s">
        <v>918</v>
      </c>
      <c r="C41" s="266" t="s">
        <v>334</v>
      </c>
      <c r="D41" s="277" t="s">
        <v>48</v>
      </c>
      <c r="E41" s="67" t="s">
        <v>31</v>
      </c>
      <c r="F41" s="67" t="s">
        <v>31</v>
      </c>
      <c r="G41" s="67" t="s">
        <v>31</v>
      </c>
      <c r="H41" s="67" t="s">
        <v>31</v>
      </c>
      <c r="I41" s="67" t="s">
        <v>31</v>
      </c>
      <c r="J41" s="67" t="s">
        <v>31</v>
      </c>
      <c r="K41" s="67" t="s">
        <v>31</v>
      </c>
      <c r="L41" s="67" t="s">
        <v>31</v>
      </c>
      <c r="M41" s="67" t="s">
        <v>31</v>
      </c>
      <c r="N41" s="67" t="s">
        <v>31</v>
      </c>
      <c r="O41" s="68" t="s">
        <v>31</v>
      </c>
      <c r="P41" s="67" t="s">
        <v>31</v>
      </c>
      <c r="Q41" s="68"/>
      <c r="R41" s="68" t="s">
        <v>31</v>
      </c>
      <c r="S41" s="68" t="s">
        <v>31</v>
      </c>
      <c r="T41" s="68" t="s">
        <v>31</v>
      </c>
      <c r="U41" s="68" t="s">
        <v>31</v>
      </c>
      <c r="V41" s="68" t="s">
        <v>31</v>
      </c>
      <c r="W41" s="68" t="s">
        <v>31</v>
      </c>
      <c r="X41" s="68" t="s">
        <v>31</v>
      </c>
      <c r="Y41" s="273" t="s">
        <v>31</v>
      </c>
      <c r="Z41" s="67" t="s">
        <v>52</v>
      </c>
      <c r="AA41" s="67" t="s">
        <v>51</v>
      </c>
      <c r="AB41" s="67" t="s">
        <v>54</v>
      </c>
      <c r="AC41" s="67" t="s">
        <v>54</v>
      </c>
      <c r="AD41" s="67" t="s">
        <v>31</v>
      </c>
      <c r="AE41" s="67" t="s">
        <v>31</v>
      </c>
      <c r="AF41" s="67" t="s">
        <v>31</v>
      </c>
      <c r="AG41" s="67" t="s">
        <v>31</v>
      </c>
      <c r="AH41" s="67" t="s">
        <v>31</v>
      </c>
      <c r="AI41" s="67" t="s">
        <v>31</v>
      </c>
      <c r="AJ41" s="68" t="s">
        <v>31</v>
      </c>
      <c r="AK41" s="273"/>
    </row>
    <row r="42" spans="1:37" ht="60.6" customHeight="1" x14ac:dyDescent="0.3">
      <c r="A42" s="266" t="s">
        <v>49</v>
      </c>
      <c r="B42" s="286" t="s">
        <v>43</v>
      </c>
      <c r="C42" s="266" t="s">
        <v>966</v>
      </c>
      <c r="D42" s="562" t="s">
        <v>285</v>
      </c>
      <c r="E42" s="70"/>
      <c r="F42" s="70" t="s">
        <v>31</v>
      </c>
      <c r="G42" s="70" t="s">
        <v>31</v>
      </c>
      <c r="H42" s="70" t="s">
        <v>31</v>
      </c>
      <c r="I42" s="70" t="s">
        <v>31</v>
      </c>
      <c r="J42" s="70"/>
      <c r="K42" s="70"/>
      <c r="L42" s="70"/>
      <c r="M42" s="70"/>
      <c r="N42" s="70"/>
      <c r="O42" s="70"/>
      <c r="P42" s="70"/>
      <c r="Q42" s="71"/>
      <c r="R42" s="71"/>
      <c r="S42" s="71"/>
      <c r="T42" s="71"/>
      <c r="U42" s="71"/>
      <c r="V42" s="71"/>
      <c r="W42" s="71"/>
      <c r="X42" s="71"/>
      <c r="Y42" s="276"/>
      <c r="Z42" s="70"/>
      <c r="AA42" s="70"/>
      <c r="AB42" s="70"/>
      <c r="AC42" s="70"/>
      <c r="AD42" s="70"/>
      <c r="AE42" s="70"/>
      <c r="AF42" s="70"/>
      <c r="AG42" s="70" t="s">
        <v>31</v>
      </c>
      <c r="AH42" s="70" t="s">
        <v>31</v>
      </c>
      <c r="AI42" s="70" t="s">
        <v>31</v>
      </c>
      <c r="AJ42" s="71"/>
      <c r="AK42" s="276"/>
    </row>
    <row r="43" spans="1:37" ht="58.8" customHeight="1" x14ac:dyDescent="0.3">
      <c r="A43" s="266" t="s">
        <v>50</v>
      </c>
      <c r="B43" s="286" t="s">
        <v>918</v>
      </c>
      <c r="C43" s="266" t="s">
        <v>967</v>
      </c>
      <c r="D43" s="275"/>
      <c r="E43" s="67" t="s">
        <v>31</v>
      </c>
      <c r="F43" s="67" t="s">
        <v>31</v>
      </c>
      <c r="G43" s="67" t="s">
        <v>31</v>
      </c>
      <c r="H43" s="67" t="s">
        <v>31</v>
      </c>
      <c r="I43" s="67" t="s">
        <v>31</v>
      </c>
      <c r="J43" s="67" t="s">
        <v>31</v>
      </c>
      <c r="K43" s="67" t="s">
        <v>31</v>
      </c>
      <c r="L43" s="67" t="s">
        <v>31</v>
      </c>
      <c r="M43" s="67" t="s">
        <v>31</v>
      </c>
      <c r="N43" s="67" t="s">
        <v>31</v>
      </c>
      <c r="O43" s="67" t="s">
        <v>31</v>
      </c>
      <c r="P43" s="67" t="s">
        <v>31</v>
      </c>
      <c r="Q43" s="67"/>
      <c r="R43" s="67" t="s">
        <v>31</v>
      </c>
      <c r="S43" s="67" t="s">
        <v>31</v>
      </c>
      <c r="T43" s="67" t="s">
        <v>31</v>
      </c>
      <c r="U43" s="67" t="s">
        <v>31</v>
      </c>
      <c r="V43" s="67" t="s">
        <v>31</v>
      </c>
      <c r="W43" s="67" t="s">
        <v>31</v>
      </c>
      <c r="X43" s="67" t="s">
        <v>31</v>
      </c>
      <c r="Y43" s="273" t="s">
        <v>31</v>
      </c>
      <c r="Z43" s="67" t="s">
        <v>52</v>
      </c>
      <c r="AA43" s="67" t="s">
        <v>51</v>
      </c>
      <c r="AB43" s="67" t="s">
        <v>54</v>
      </c>
      <c r="AC43" s="67" t="s">
        <v>54</v>
      </c>
      <c r="AD43" s="67" t="s">
        <v>31</v>
      </c>
      <c r="AE43" s="67" t="s">
        <v>31</v>
      </c>
      <c r="AF43" s="67" t="s">
        <v>31</v>
      </c>
      <c r="AG43" s="67" t="s">
        <v>31</v>
      </c>
      <c r="AH43" s="67" t="s">
        <v>31</v>
      </c>
      <c r="AI43" s="67" t="s">
        <v>31</v>
      </c>
      <c r="AJ43" s="67" t="s">
        <v>31</v>
      </c>
      <c r="AK43" s="273"/>
    </row>
    <row r="44" spans="1:37" ht="66.599999999999994" customHeight="1" x14ac:dyDescent="0.3">
      <c r="A44" s="266" t="s">
        <v>53</v>
      </c>
      <c r="B44" s="286" t="s">
        <v>43</v>
      </c>
      <c r="C44" s="266" t="s">
        <v>968</v>
      </c>
      <c r="D44" s="277" t="s">
        <v>285</v>
      </c>
      <c r="E44" s="70" t="s">
        <v>31</v>
      </c>
      <c r="F44" s="70" t="s">
        <v>31</v>
      </c>
      <c r="G44" s="69" t="s">
        <v>31</v>
      </c>
      <c r="H44" s="69" t="s">
        <v>31</v>
      </c>
      <c r="I44" s="70" t="s">
        <v>31</v>
      </c>
      <c r="J44" s="71"/>
      <c r="K44" s="69" t="s">
        <v>31</v>
      </c>
      <c r="L44" s="69" t="s">
        <v>31</v>
      </c>
      <c r="M44" s="69" t="s">
        <v>31</v>
      </c>
      <c r="N44" s="69" t="s">
        <v>31</v>
      </c>
      <c r="O44" s="71" t="s">
        <v>31</v>
      </c>
      <c r="P44" s="71" t="s">
        <v>31</v>
      </c>
      <c r="Q44" s="69"/>
      <c r="R44" s="69" t="s">
        <v>31</v>
      </c>
      <c r="S44" s="69" t="s">
        <v>31</v>
      </c>
      <c r="T44" s="69" t="s">
        <v>31</v>
      </c>
      <c r="U44" s="71" t="s">
        <v>31</v>
      </c>
      <c r="V44" s="69" t="s">
        <v>31</v>
      </c>
      <c r="W44" s="69"/>
      <c r="X44" s="69"/>
      <c r="Y44" s="291" t="s">
        <v>31</v>
      </c>
      <c r="Z44" s="69" t="s">
        <v>52</v>
      </c>
      <c r="AA44" s="69" t="s">
        <v>51</v>
      </c>
      <c r="AB44" s="69" t="s">
        <v>54</v>
      </c>
      <c r="AC44" s="323" t="s">
        <v>54</v>
      </c>
      <c r="AD44" s="323" t="s">
        <v>31</v>
      </c>
      <c r="AE44" s="323" t="s">
        <v>31</v>
      </c>
      <c r="AF44" s="323" t="s">
        <v>31</v>
      </c>
      <c r="AG44" s="70" t="s">
        <v>31</v>
      </c>
      <c r="AH44" s="70" t="s">
        <v>31</v>
      </c>
      <c r="AI44" s="70" t="s">
        <v>31</v>
      </c>
      <c r="AJ44" s="70" t="s">
        <v>31</v>
      </c>
      <c r="AK44" s="276"/>
    </row>
    <row r="45" spans="1:37" ht="64.8" customHeight="1" x14ac:dyDescent="0.3">
      <c r="A45" s="266" t="s">
        <v>235</v>
      </c>
      <c r="B45" s="286" t="s">
        <v>918</v>
      </c>
      <c r="C45" s="266" t="s">
        <v>969</v>
      </c>
      <c r="D45" s="267" t="s">
        <v>1005</v>
      </c>
      <c r="E45" s="67"/>
      <c r="F45" s="67"/>
      <c r="G45" s="68"/>
      <c r="H45" s="68"/>
      <c r="I45" s="67"/>
      <c r="J45" s="68"/>
      <c r="K45" s="68"/>
      <c r="L45" s="68"/>
      <c r="M45" s="68"/>
      <c r="N45" s="68"/>
      <c r="O45" s="68"/>
      <c r="P45" s="68"/>
      <c r="Q45" s="68" t="s">
        <v>30</v>
      </c>
      <c r="R45" s="68"/>
      <c r="S45" s="68"/>
      <c r="T45" s="68"/>
      <c r="U45" s="68"/>
      <c r="V45" s="68"/>
      <c r="W45" s="68"/>
      <c r="X45" s="68"/>
      <c r="Y45" s="273"/>
      <c r="Z45" s="68"/>
      <c r="AA45" s="68"/>
      <c r="AB45" s="68"/>
      <c r="AC45" s="67"/>
      <c r="AD45" s="67"/>
      <c r="AE45" s="67"/>
      <c r="AF45" s="67"/>
      <c r="AG45" s="67"/>
      <c r="AH45" s="67"/>
      <c r="AI45" s="67"/>
      <c r="AJ45" s="68"/>
      <c r="AK45" s="273"/>
    </row>
    <row r="46" spans="1:37" ht="50.1" customHeight="1" x14ac:dyDescent="0.3">
      <c r="A46" s="266" t="s">
        <v>55</v>
      </c>
      <c r="B46" s="266" t="s">
        <v>56</v>
      </c>
      <c r="C46" s="266" t="s">
        <v>335</v>
      </c>
      <c r="D46" s="277" t="s">
        <v>236</v>
      </c>
      <c r="E46" s="70" t="s">
        <v>62</v>
      </c>
      <c r="F46" s="70" t="s">
        <v>62</v>
      </c>
      <c r="G46" s="71" t="s">
        <v>30</v>
      </c>
      <c r="H46" s="71" t="s">
        <v>31</v>
      </c>
      <c r="I46" s="70" t="s">
        <v>62</v>
      </c>
      <c r="J46" s="71" t="s">
        <v>67</v>
      </c>
      <c r="K46" s="71" t="s">
        <v>61</v>
      </c>
      <c r="L46" s="71" t="s">
        <v>61</v>
      </c>
      <c r="M46" s="71" t="s">
        <v>67</v>
      </c>
      <c r="N46" s="71" t="s">
        <v>61</v>
      </c>
      <c r="O46" s="71" t="s">
        <v>30</v>
      </c>
      <c r="P46" s="71" t="s">
        <v>31</v>
      </c>
      <c r="Q46" s="71" t="s">
        <v>62</v>
      </c>
      <c r="R46" s="71" t="s">
        <v>67</v>
      </c>
      <c r="S46" s="71" t="s">
        <v>61</v>
      </c>
      <c r="T46" s="71" t="s">
        <v>31</v>
      </c>
      <c r="U46" s="71" t="s">
        <v>62</v>
      </c>
      <c r="V46" s="71" t="s">
        <v>62</v>
      </c>
      <c r="W46" s="71" t="s">
        <v>67</v>
      </c>
      <c r="X46" s="71" t="s">
        <v>62</v>
      </c>
      <c r="Y46" s="276" t="s">
        <v>31</v>
      </c>
      <c r="Z46" s="71" t="s">
        <v>52</v>
      </c>
      <c r="AA46" s="71" t="s">
        <v>51</v>
      </c>
      <c r="AB46" s="71" t="s">
        <v>54</v>
      </c>
      <c r="AC46" s="70" t="s">
        <v>54</v>
      </c>
      <c r="AD46" s="70" t="s">
        <v>67</v>
      </c>
      <c r="AE46" s="70" t="s">
        <v>67</v>
      </c>
      <c r="AF46" s="70" t="s">
        <v>61</v>
      </c>
      <c r="AG46" s="268" t="s">
        <v>62</v>
      </c>
      <c r="AH46" s="268" t="s">
        <v>62</v>
      </c>
      <c r="AI46" s="70" t="s">
        <v>30</v>
      </c>
      <c r="AJ46" s="71" t="s">
        <v>67</v>
      </c>
      <c r="AK46" s="276"/>
    </row>
    <row r="47" spans="1:37" ht="50.1" customHeight="1" x14ac:dyDescent="0.3">
      <c r="A47" s="266" t="s">
        <v>237</v>
      </c>
      <c r="B47" s="266" t="s">
        <v>43</v>
      </c>
      <c r="C47" s="266" t="s">
        <v>963</v>
      </c>
      <c r="D47" s="277" t="s">
        <v>285</v>
      </c>
      <c r="E47" s="68" t="s">
        <v>31</v>
      </c>
      <c r="F47" s="68" t="s">
        <v>31</v>
      </c>
      <c r="G47" s="68" t="s">
        <v>31</v>
      </c>
      <c r="H47" s="68" t="s">
        <v>31</v>
      </c>
      <c r="I47" s="68" t="s">
        <v>31</v>
      </c>
      <c r="J47" s="68" t="s">
        <v>31</v>
      </c>
      <c r="K47" s="68" t="s">
        <v>31</v>
      </c>
      <c r="L47" s="68" t="s">
        <v>31</v>
      </c>
      <c r="M47" s="68" t="s">
        <v>31</v>
      </c>
      <c r="N47" s="68" t="s">
        <v>31</v>
      </c>
      <c r="O47" s="68" t="s">
        <v>31</v>
      </c>
      <c r="P47" s="68" t="s">
        <v>52</v>
      </c>
      <c r="Q47" s="68"/>
      <c r="R47" s="68" t="s">
        <v>31</v>
      </c>
      <c r="S47" s="68" t="s">
        <v>31</v>
      </c>
      <c r="T47" s="68" t="s">
        <v>31</v>
      </c>
      <c r="U47" s="68" t="s">
        <v>31</v>
      </c>
      <c r="V47" s="68" t="s">
        <v>31</v>
      </c>
      <c r="W47" s="68" t="s">
        <v>31</v>
      </c>
      <c r="X47" s="68" t="s">
        <v>31</v>
      </c>
      <c r="Y47" s="273" t="s">
        <v>31</v>
      </c>
      <c r="Z47" s="68" t="s">
        <v>52</v>
      </c>
      <c r="AA47" s="68" t="s">
        <v>51</v>
      </c>
      <c r="AB47" s="68" t="s">
        <v>54</v>
      </c>
      <c r="AC47" s="68" t="s">
        <v>54</v>
      </c>
      <c r="AD47" s="68" t="s">
        <v>31</v>
      </c>
      <c r="AE47" s="68" t="s">
        <v>31</v>
      </c>
      <c r="AF47" s="68" t="s">
        <v>31</v>
      </c>
      <c r="AG47" s="68" t="s">
        <v>31</v>
      </c>
      <c r="AH47" s="68" t="s">
        <v>31</v>
      </c>
      <c r="AI47" s="68" t="s">
        <v>31</v>
      </c>
      <c r="AJ47" s="68" t="s">
        <v>31</v>
      </c>
      <c r="AK47" s="288"/>
    </row>
    <row r="48" spans="1:37" ht="66" customHeight="1" x14ac:dyDescent="0.3">
      <c r="A48" s="266" t="s">
        <v>284</v>
      </c>
      <c r="B48" s="266" t="s">
        <v>43</v>
      </c>
      <c r="C48" s="266" t="s">
        <v>970</v>
      </c>
      <c r="D48" s="277" t="s">
        <v>285</v>
      </c>
      <c r="E48" s="70" t="s">
        <v>51</v>
      </c>
      <c r="F48" s="70" t="s">
        <v>51</v>
      </c>
      <c r="G48" s="70" t="s">
        <v>51</v>
      </c>
      <c r="H48" s="70" t="s">
        <v>51</v>
      </c>
      <c r="I48" s="70" t="s">
        <v>51</v>
      </c>
      <c r="J48" s="70" t="s">
        <v>51</v>
      </c>
      <c r="K48" s="70" t="s">
        <v>51</v>
      </c>
      <c r="L48" s="70" t="s">
        <v>51</v>
      </c>
      <c r="M48" s="70" t="s">
        <v>51</v>
      </c>
      <c r="N48" s="70" t="s">
        <v>51</v>
      </c>
      <c r="O48" s="70" t="s">
        <v>51</v>
      </c>
      <c r="P48" s="70" t="s">
        <v>51</v>
      </c>
      <c r="Q48" s="70" t="s">
        <v>51</v>
      </c>
      <c r="R48" s="70" t="s">
        <v>51</v>
      </c>
      <c r="S48" s="70" t="s">
        <v>51</v>
      </c>
      <c r="T48" s="70" t="s">
        <v>51</v>
      </c>
      <c r="U48" s="70"/>
      <c r="V48" s="70" t="s">
        <v>51</v>
      </c>
      <c r="W48" s="70" t="s">
        <v>51</v>
      </c>
      <c r="X48" s="70" t="s">
        <v>51</v>
      </c>
      <c r="Y48" s="70" t="s">
        <v>51</v>
      </c>
      <c r="Z48" s="70" t="s">
        <v>51</v>
      </c>
      <c r="AA48" s="70" t="s">
        <v>54</v>
      </c>
      <c r="AB48" s="70" t="s">
        <v>54</v>
      </c>
      <c r="AC48" s="70" t="s">
        <v>54</v>
      </c>
      <c r="AD48" s="70" t="s">
        <v>51</v>
      </c>
      <c r="AE48" s="70" t="s">
        <v>51</v>
      </c>
      <c r="AF48" s="70" t="s">
        <v>51</v>
      </c>
      <c r="AG48" s="69" t="s">
        <v>51</v>
      </c>
      <c r="AH48" s="69" t="s">
        <v>51</v>
      </c>
      <c r="AI48" s="69" t="s">
        <v>51</v>
      </c>
      <c r="AJ48" s="70" t="s">
        <v>51</v>
      </c>
      <c r="AK48" s="70"/>
    </row>
    <row r="49" spans="1:37" ht="69" customHeight="1" x14ac:dyDescent="0.3">
      <c r="A49" s="266" t="s">
        <v>238</v>
      </c>
      <c r="B49" s="266" t="s">
        <v>43</v>
      </c>
      <c r="C49" s="266" t="s">
        <v>971</v>
      </c>
      <c r="D49" s="277"/>
      <c r="E49" s="68" t="s">
        <v>31</v>
      </c>
      <c r="F49" s="68" t="s">
        <v>31</v>
      </c>
      <c r="G49" s="68" t="s">
        <v>31</v>
      </c>
      <c r="H49" s="68" t="s">
        <v>31</v>
      </c>
      <c r="I49" s="68" t="s">
        <v>31</v>
      </c>
      <c r="J49" s="68" t="s">
        <v>31</v>
      </c>
      <c r="K49" s="68" t="s">
        <v>31</v>
      </c>
      <c r="L49" s="68" t="s">
        <v>31</v>
      </c>
      <c r="M49" s="68" t="s">
        <v>31</v>
      </c>
      <c r="N49" s="68" t="s">
        <v>31</v>
      </c>
      <c r="O49" s="68" t="s">
        <v>31</v>
      </c>
      <c r="P49" s="68" t="s">
        <v>31</v>
      </c>
      <c r="Q49" s="68" t="s">
        <v>31</v>
      </c>
      <c r="R49" s="68" t="s">
        <v>31</v>
      </c>
      <c r="S49" s="68" t="s">
        <v>31</v>
      </c>
      <c r="T49" s="68" t="s">
        <v>31</v>
      </c>
      <c r="U49" s="68" t="s">
        <v>31</v>
      </c>
      <c r="V49" s="68" t="s">
        <v>31</v>
      </c>
      <c r="W49" s="68" t="s">
        <v>31</v>
      </c>
      <c r="X49" s="68" t="s">
        <v>31</v>
      </c>
      <c r="Y49" s="273" t="s">
        <v>31</v>
      </c>
      <c r="Z49" s="68" t="s">
        <v>52</v>
      </c>
      <c r="AA49" s="68" t="s">
        <v>51</v>
      </c>
      <c r="AB49" s="68" t="s">
        <v>54</v>
      </c>
      <c r="AC49" s="68" t="s">
        <v>54</v>
      </c>
      <c r="AD49" s="68" t="s">
        <v>31</v>
      </c>
      <c r="AE49" s="68" t="s">
        <v>31</v>
      </c>
      <c r="AF49" s="68" t="s">
        <v>31</v>
      </c>
      <c r="AG49" s="68" t="s">
        <v>31</v>
      </c>
      <c r="AH49" s="68" t="s">
        <v>31</v>
      </c>
      <c r="AI49" s="68" t="s">
        <v>31</v>
      </c>
      <c r="AJ49" s="68" t="s">
        <v>31</v>
      </c>
      <c r="AK49" s="288"/>
    </row>
    <row r="50" spans="1:37" ht="15" x14ac:dyDescent="0.3">
      <c r="A50" s="164"/>
      <c r="B50" s="164"/>
      <c r="C50" s="164"/>
      <c r="D50" s="164"/>
      <c r="E50" s="297"/>
      <c r="F50" s="297"/>
      <c r="G50" s="297"/>
      <c r="H50" s="297"/>
      <c r="I50" s="297"/>
      <c r="J50" s="297"/>
      <c r="K50" s="297"/>
      <c r="L50" s="297"/>
      <c r="M50" s="297"/>
      <c r="N50" s="297"/>
      <c r="O50" s="297"/>
      <c r="P50" s="297"/>
      <c r="Q50" s="297"/>
      <c r="R50" s="297"/>
      <c r="S50" s="297"/>
      <c r="T50" s="297"/>
      <c r="U50" s="297"/>
      <c r="V50" s="297"/>
      <c r="W50" s="297"/>
      <c r="X50" s="297"/>
      <c r="Y50" s="298"/>
      <c r="Z50" s="297"/>
      <c r="AA50" s="297"/>
      <c r="AB50" s="297"/>
      <c r="AC50" s="297"/>
      <c r="AD50" s="297"/>
      <c r="AE50" s="297"/>
      <c r="AF50" s="297"/>
      <c r="AG50" s="297"/>
      <c r="AH50" s="297"/>
      <c r="AI50" s="297"/>
      <c r="AJ50" s="297"/>
      <c r="AK50" s="298"/>
    </row>
    <row r="51" spans="1:37" ht="15" x14ac:dyDescent="0.3">
      <c r="A51" s="61"/>
      <c r="B51" s="61"/>
      <c r="C51" s="61"/>
      <c r="D51" s="61"/>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row>
    <row r="52" spans="1:37" ht="15" x14ac:dyDescent="0.3">
      <c r="A52" s="61"/>
      <c r="B52" s="61"/>
      <c r="C52" s="61"/>
      <c r="D52" s="61"/>
      <c r="E52" s="74"/>
      <c r="F52" s="74"/>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row>
  </sheetData>
  <mergeCells count="1">
    <mergeCell ref="B3:C3"/>
  </mergeCells>
  <phoneticPr fontId="50" type="noConversion"/>
  <pageMargins left="0.70866141732283472" right="0.70866141732283472" top="0.43307086614173229" bottom="0.78740157480314965" header="0.31496062992125984" footer="0.31496062992125984"/>
  <pageSetup paperSize="8" scale="34" orientation="landscape" r:id="rId1"/>
  <headerFooter>
    <oddHeader>&amp;CAusschreibung Reinigung Gemeinde Oberhaching 2026</oddHeader>
  </headerFooter>
  <rowBreaks count="1" manualBreakCount="1">
    <brk id="32" max="2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0ACFB-824F-47EA-9948-C4663D37CBBF}">
  <sheetPr codeName="Tabelle5">
    <tabColor rgb="FF00B050"/>
  </sheetPr>
  <dimension ref="A1:AA52"/>
  <sheetViews>
    <sheetView zoomScale="50" zoomScaleNormal="50" zoomScaleSheetLayoutView="40" zoomScalePageLayoutView="30" workbookViewId="0">
      <selection activeCell="D3" sqref="D3"/>
    </sheetView>
  </sheetViews>
  <sheetFormatPr baseColWidth="10" defaultRowHeight="14.4" x14ac:dyDescent="0.3"/>
  <cols>
    <col min="1" max="1" width="40.6640625" customWidth="1"/>
    <col min="2" max="2" width="44.21875" customWidth="1"/>
    <col min="3" max="3" width="55.77734375" customWidth="1"/>
    <col min="4" max="4" width="52.77734375" customWidth="1"/>
    <col min="5" max="26" width="10.77734375" customWidth="1"/>
  </cols>
  <sheetData>
    <row r="1" spans="1:27" ht="34.5" customHeight="1" x14ac:dyDescent="0.3">
      <c r="A1" s="237" t="s">
        <v>997</v>
      </c>
      <c r="B1" s="238"/>
      <c r="C1" s="238"/>
      <c r="D1" s="238"/>
      <c r="E1" s="238"/>
      <c r="F1" s="238"/>
      <c r="G1" s="238"/>
      <c r="H1" s="238"/>
      <c r="I1" s="238"/>
      <c r="J1" s="238"/>
      <c r="K1" s="238"/>
      <c r="L1" s="238"/>
      <c r="M1" s="238"/>
      <c r="N1" s="238"/>
      <c r="O1" s="238"/>
      <c r="P1" s="238"/>
      <c r="Q1" s="238"/>
      <c r="R1" s="238"/>
      <c r="S1" s="238"/>
      <c r="T1" s="238"/>
      <c r="U1" s="238"/>
      <c r="V1" s="238"/>
      <c r="W1" s="238"/>
      <c r="X1" s="238"/>
      <c r="Y1" s="238"/>
      <c r="Z1" s="239"/>
      <c r="AA1" s="60"/>
    </row>
    <row r="2" spans="1:27" ht="15.6" thickBot="1" x14ac:dyDescent="0.35">
      <c r="A2" s="61"/>
      <c r="B2" s="61"/>
      <c r="C2" s="61"/>
      <c r="D2" s="61"/>
      <c r="E2" s="62"/>
      <c r="F2" s="62"/>
      <c r="G2" s="62"/>
      <c r="H2" s="62"/>
      <c r="I2" s="62"/>
      <c r="J2" s="62"/>
      <c r="K2" s="62"/>
      <c r="L2" s="62"/>
      <c r="M2" s="62"/>
      <c r="N2" s="62"/>
      <c r="O2" s="62"/>
      <c r="P2" s="62"/>
      <c r="Q2" s="62"/>
      <c r="R2" s="62"/>
      <c r="S2" s="62"/>
      <c r="T2" s="62"/>
      <c r="U2" s="62"/>
      <c r="V2" s="62"/>
      <c r="W2" s="62"/>
      <c r="X2" s="62"/>
      <c r="Y2" s="62"/>
      <c r="Z2" s="240"/>
      <c r="AA2" s="9"/>
    </row>
    <row r="3" spans="1:27" ht="158.25" customHeight="1" thickBot="1" x14ac:dyDescent="0.35">
      <c r="A3" s="241" t="s">
        <v>359</v>
      </c>
      <c r="B3" s="628" t="s">
        <v>1004</v>
      </c>
      <c r="C3" s="629"/>
      <c r="D3" s="534"/>
      <c r="E3" s="242" t="s">
        <v>748</v>
      </c>
      <c r="F3" s="242" t="s">
        <v>174</v>
      </c>
      <c r="G3" s="242" t="s">
        <v>174</v>
      </c>
      <c r="H3" s="246" t="s">
        <v>931</v>
      </c>
      <c r="I3" s="246" t="s">
        <v>931</v>
      </c>
      <c r="J3" s="242" t="s">
        <v>743</v>
      </c>
      <c r="K3" s="242" t="s">
        <v>742</v>
      </c>
      <c r="L3" s="242" t="s">
        <v>176</v>
      </c>
      <c r="M3" s="242" t="s">
        <v>178</v>
      </c>
      <c r="N3" s="243" t="s">
        <v>179</v>
      </c>
      <c r="O3" s="243" t="s">
        <v>180</v>
      </c>
      <c r="P3" s="243" t="s">
        <v>180</v>
      </c>
      <c r="Q3" s="244" t="s">
        <v>181</v>
      </c>
      <c r="R3" s="245" t="s">
        <v>908</v>
      </c>
      <c r="S3" s="245" t="s">
        <v>908</v>
      </c>
      <c r="T3" s="245" t="s">
        <v>908</v>
      </c>
      <c r="U3" s="245" t="s">
        <v>166</v>
      </c>
      <c r="V3" s="243" t="s">
        <v>932</v>
      </c>
      <c r="W3" s="243" t="s">
        <v>745</v>
      </c>
      <c r="X3" s="246" t="s">
        <v>184</v>
      </c>
      <c r="Y3" s="246" t="s">
        <v>679</v>
      </c>
      <c r="Z3" s="246" t="s">
        <v>247</v>
      </c>
      <c r="AA3" s="63"/>
    </row>
    <row r="4" spans="1:27" ht="25.5" customHeight="1" thickBot="1" x14ac:dyDescent="0.35">
      <c r="A4" s="247"/>
      <c r="B4" s="248"/>
      <c r="C4" s="248"/>
      <c r="D4" s="249" t="s">
        <v>185</v>
      </c>
      <c r="E4" s="250" t="s">
        <v>186</v>
      </c>
      <c r="F4" s="250" t="s">
        <v>187</v>
      </c>
      <c r="G4" s="250" t="s">
        <v>187</v>
      </c>
      <c r="H4" s="250" t="s">
        <v>189</v>
      </c>
      <c r="I4" s="250" t="s">
        <v>189</v>
      </c>
      <c r="J4" s="250" t="s">
        <v>190</v>
      </c>
      <c r="K4" s="250" t="s">
        <v>744</v>
      </c>
      <c r="L4" s="251" t="s">
        <v>191</v>
      </c>
      <c r="M4" s="250" t="s">
        <v>193</v>
      </c>
      <c r="N4" s="250" t="s">
        <v>194</v>
      </c>
      <c r="O4" s="250" t="s">
        <v>195</v>
      </c>
      <c r="P4" s="250" t="s">
        <v>195</v>
      </c>
      <c r="Q4" s="250" t="s">
        <v>173</v>
      </c>
      <c r="R4" s="250" t="s">
        <v>196</v>
      </c>
      <c r="S4" s="250" t="s">
        <v>196</v>
      </c>
      <c r="T4" s="250" t="s">
        <v>196</v>
      </c>
      <c r="U4" s="250" t="s">
        <v>197</v>
      </c>
      <c r="V4" s="250" t="s">
        <v>31</v>
      </c>
      <c r="W4" s="250" t="s">
        <v>199</v>
      </c>
      <c r="X4" s="250" t="s">
        <v>200</v>
      </c>
      <c r="Y4" s="250" t="s">
        <v>203</v>
      </c>
      <c r="Z4" s="252" t="s">
        <v>16</v>
      </c>
      <c r="AA4" s="63"/>
    </row>
    <row r="5" spans="1:27" ht="31.5" customHeight="1" thickBot="1" x14ac:dyDescent="0.35">
      <c r="A5" s="61"/>
      <c r="B5" s="61"/>
      <c r="C5" s="61"/>
      <c r="D5" s="253" t="s">
        <v>204</v>
      </c>
      <c r="E5" s="254" t="s">
        <v>61</v>
      </c>
      <c r="F5" s="254" t="s">
        <v>61</v>
      </c>
      <c r="G5" s="254" t="s">
        <v>62</v>
      </c>
      <c r="H5" s="254" t="s">
        <v>61</v>
      </c>
      <c r="I5" s="254" t="s">
        <v>31</v>
      </c>
      <c r="J5" s="254" t="s">
        <v>61</v>
      </c>
      <c r="K5" s="254" t="s">
        <v>61</v>
      </c>
      <c r="L5" s="255" t="s">
        <v>61</v>
      </c>
      <c r="M5" s="254" t="s">
        <v>61</v>
      </c>
      <c r="N5" s="254" t="s">
        <v>61</v>
      </c>
      <c r="O5" s="254" t="s">
        <v>61</v>
      </c>
      <c r="P5" s="254" t="s">
        <v>31</v>
      </c>
      <c r="Q5" s="254" t="s">
        <v>61</v>
      </c>
      <c r="R5" s="254" t="s">
        <v>61</v>
      </c>
      <c r="S5" s="254" t="s">
        <v>30</v>
      </c>
      <c r="T5" s="254" t="s">
        <v>31</v>
      </c>
      <c r="U5" s="254" t="s">
        <v>54</v>
      </c>
      <c r="V5" s="254" t="s">
        <v>61</v>
      </c>
      <c r="W5" s="254" t="s">
        <v>61</v>
      </c>
      <c r="X5" s="254" t="s">
        <v>61</v>
      </c>
      <c r="Y5" s="254" t="s">
        <v>61</v>
      </c>
      <c r="Z5" s="256" t="s">
        <v>68</v>
      </c>
      <c r="AA5" s="63"/>
    </row>
    <row r="6" spans="1:27" ht="25.8" customHeight="1" thickBot="1" x14ac:dyDescent="0.35">
      <c r="A6" s="64" t="s">
        <v>13</v>
      </c>
      <c r="B6" s="65" t="s">
        <v>14</v>
      </c>
      <c r="C6" s="65" t="s">
        <v>319</v>
      </c>
      <c r="D6" s="65" t="s">
        <v>15</v>
      </c>
      <c r="E6" s="257" t="s">
        <v>710</v>
      </c>
      <c r="F6" s="258" t="s">
        <v>894</v>
      </c>
      <c r="G6" s="258" t="s">
        <v>667</v>
      </c>
      <c r="H6" s="259" t="s">
        <v>671</v>
      </c>
      <c r="I6" s="259" t="s">
        <v>878</v>
      </c>
      <c r="J6" s="259" t="s">
        <v>678</v>
      </c>
      <c r="K6" s="259" t="s">
        <v>750</v>
      </c>
      <c r="L6" s="257" t="s">
        <v>676</v>
      </c>
      <c r="M6" s="257" t="s">
        <v>674</v>
      </c>
      <c r="N6" s="257" t="s">
        <v>669</v>
      </c>
      <c r="O6" s="257" t="s">
        <v>666</v>
      </c>
      <c r="P6" s="257" t="s">
        <v>879</v>
      </c>
      <c r="Q6" s="257" t="s">
        <v>683</v>
      </c>
      <c r="R6" s="257" t="s">
        <v>892</v>
      </c>
      <c r="S6" s="260" t="s">
        <v>688</v>
      </c>
      <c r="T6" s="260" t="s">
        <v>689</v>
      </c>
      <c r="U6" s="259" t="s">
        <v>709</v>
      </c>
      <c r="V6" s="257" t="s">
        <v>685</v>
      </c>
      <c r="W6" s="257" t="s">
        <v>987</v>
      </c>
      <c r="X6" s="259" t="s">
        <v>670</v>
      </c>
      <c r="Y6" s="257" t="s">
        <v>680</v>
      </c>
      <c r="Z6" s="261" t="s">
        <v>708</v>
      </c>
      <c r="AA6" s="63"/>
    </row>
    <row r="7" spans="1:27" ht="42.75" customHeight="1" thickBot="1" x14ac:dyDescent="0.35">
      <c r="A7" s="262" t="s">
        <v>17</v>
      </c>
      <c r="B7" s="263" t="s">
        <v>205</v>
      </c>
      <c r="C7" s="263"/>
      <c r="D7" s="263"/>
      <c r="E7" s="264"/>
      <c r="F7" s="264"/>
      <c r="G7" s="264"/>
      <c r="H7" s="264"/>
      <c r="I7" s="264"/>
      <c r="J7" s="264"/>
      <c r="K7" s="264"/>
      <c r="L7" s="264"/>
      <c r="M7" s="264"/>
      <c r="N7" s="264"/>
      <c r="O7" s="264"/>
      <c r="P7" s="264"/>
      <c r="Q7" s="264"/>
      <c r="R7" s="264"/>
      <c r="S7" s="264"/>
      <c r="T7" s="265"/>
      <c r="U7" s="264"/>
      <c r="V7" s="264"/>
      <c r="W7" s="264"/>
      <c r="X7" s="264"/>
      <c r="Y7" s="264"/>
      <c r="Z7" s="265"/>
      <c r="AA7" s="63"/>
    </row>
    <row r="8" spans="1:27" ht="50.1" customHeight="1" x14ac:dyDescent="0.3">
      <c r="A8" s="266" t="s">
        <v>18</v>
      </c>
      <c r="B8" s="266" t="s">
        <v>19</v>
      </c>
      <c r="C8" s="266" t="s">
        <v>320</v>
      </c>
      <c r="D8" s="267" t="s">
        <v>206</v>
      </c>
      <c r="E8" s="268" t="s">
        <v>61</v>
      </c>
      <c r="F8" s="269" t="s">
        <v>61</v>
      </c>
      <c r="G8" s="269" t="s">
        <v>62</v>
      </c>
      <c r="H8" s="268" t="s">
        <v>61</v>
      </c>
      <c r="I8" s="268" t="s">
        <v>31</v>
      </c>
      <c r="J8" s="269" t="s">
        <v>61</v>
      </c>
      <c r="K8" s="269" t="s">
        <v>61</v>
      </c>
      <c r="L8" s="269" t="s">
        <v>61</v>
      </c>
      <c r="M8" s="269" t="s">
        <v>61</v>
      </c>
      <c r="N8" s="269" t="s">
        <v>61</v>
      </c>
      <c r="O8" s="269" t="s">
        <v>61</v>
      </c>
      <c r="P8" s="269" t="s">
        <v>31</v>
      </c>
      <c r="Q8" s="269" t="s">
        <v>61</v>
      </c>
      <c r="R8" s="269" t="s">
        <v>61</v>
      </c>
      <c r="S8" s="269" t="s">
        <v>30</v>
      </c>
      <c r="T8" s="270" t="s">
        <v>31</v>
      </c>
      <c r="U8" s="268" t="s">
        <v>54</v>
      </c>
      <c r="V8" s="269" t="s">
        <v>61</v>
      </c>
      <c r="W8" s="269" t="s">
        <v>61</v>
      </c>
      <c r="X8" s="268" t="s">
        <v>61</v>
      </c>
      <c r="Y8" s="268" t="s">
        <v>61</v>
      </c>
      <c r="Z8" s="270"/>
      <c r="AA8" s="9"/>
    </row>
    <row r="9" spans="1:27" ht="78" customHeight="1" x14ac:dyDescent="0.3">
      <c r="A9" s="266" t="s">
        <v>207</v>
      </c>
      <c r="B9" s="266" t="s">
        <v>974</v>
      </c>
      <c r="C9" s="266" t="s">
        <v>321</v>
      </c>
      <c r="D9" s="267" t="s">
        <v>336</v>
      </c>
      <c r="E9" s="271" t="s">
        <v>61</v>
      </c>
      <c r="F9" s="272" t="s">
        <v>61</v>
      </c>
      <c r="G9" s="272" t="s">
        <v>62</v>
      </c>
      <c r="H9" s="271" t="s">
        <v>61</v>
      </c>
      <c r="I9" s="271" t="s">
        <v>31</v>
      </c>
      <c r="J9" s="272" t="s">
        <v>61</v>
      </c>
      <c r="K9" s="272" t="s">
        <v>61</v>
      </c>
      <c r="L9" s="272" t="s">
        <v>61</v>
      </c>
      <c r="M9" s="272" t="s">
        <v>61</v>
      </c>
      <c r="N9" s="272" t="s">
        <v>61</v>
      </c>
      <c r="O9" s="272" t="s">
        <v>61</v>
      </c>
      <c r="P9" s="272" t="s">
        <v>31</v>
      </c>
      <c r="Q9" s="272" t="s">
        <v>61</v>
      </c>
      <c r="R9" s="272" t="s">
        <v>61</v>
      </c>
      <c r="S9" s="272" t="s">
        <v>30</v>
      </c>
      <c r="T9" s="273" t="s">
        <v>31</v>
      </c>
      <c r="U9" s="271" t="s">
        <v>54</v>
      </c>
      <c r="V9" s="272" t="s">
        <v>61</v>
      </c>
      <c r="W9" s="272" t="s">
        <v>61</v>
      </c>
      <c r="X9" s="271" t="s">
        <v>61</v>
      </c>
      <c r="Y9" s="271" t="s">
        <v>61</v>
      </c>
      <c r="Z9" s="274"/>
      <c r="AA9" s="9"/>
    </row>
    <row r="10" spans="1:27" ht="50.1" customHeight="1" x14ac:dyDescent="0.3">
      <c r="A10" s="266" t="s">
        <v>209</v>
      </c>
      <c r="B10" s="266" t="s">
        <v>21</v>
      </c>
      <c r="C10" s="286" t="s">
        <v>322</v>
      </c>
      <c r="D10" s="275" t="s">
        <v>210</v>
      </c>
      <c r="E10" s="70" t="s">
        <v>61</v>
      </c>
      <c r="F10" s="71" t="s">
        <v>61</v>
      </c>
      <c r="G10" s="71" t="s">
        <v>62</v>
      </c>
      <c r="H10" s="70"/>
      <c r="I10" s="70"/>
      <c r="J10" s="71" t="s">
        <v>61</v>
      </c>
      <c r="K10" s="71" t="s">
        <v>61</v>
      </c>
      <c r="L10" s="71" t="s">
        <v>61</v>
      </c>
      <c r="M10" s="71" t="s">
        <v>61</v>
      </c>
      <c r="N10" s="71" t="s">
        <v>61</v>
      </c>
      <c r="O10" s="71" t="s">
        <v>61</v>
      </c>
      <c r="P10" s="71" t="s">
        <v>31</v>
      </c>
      <c r="Q10" s="71"/>
      <c r="R10" s="71" t="s">
        <v>61</v>
      </c>
      <c r="S10" s="269" t="s">
        <v>30</v>
      </c>
      <c r="T10" s="276" t="s">
        <v>31</v>
      </c>
      <c r="U10" s="70" t="s">
        <v>54</v>
      </c>
      <c r="V10" s="71" t="s">
        <v>61</v>
      </c>
      <c r="W10" s="71" t="s">
        <v>61</v>
      </c>
      <c r="X10" s="70"/>
      <c r="Y10" s="70" t="s">
        <v>61</v>
      </c>
      <c r="Z10" s="276"/>
      <c r="AA10" s="9"/>
    </row>
    <row r="11" spans="1:27" ht="50.1" customHeight="1" x14ac:dyDescent="0.3">
      <c r="A11" s="266" t="s">
        <v>211</v>
      </c>
      <c r="B11" s="266" t="s">
        <v>288</v>
      </c>
      <c r="C11" s="266" t="s">
        <v>838</v>
      </c>
      <c r="D11" s="277"/>
      <c r="E11" s="271"/>
      <c r="F11" s="272"/>
      <c r="G11" s="272"/>
      <c r="H11" s="271" t="s">
        <v>30</v>
      </c>
      <c r="I11" s="271" t="s">
        <v>31</v>
      </c>
      <c r="J11" s="272"/>
      <c r="K11" s="272"/>
      <c r="L11" s="272"/>
      <c r="M11" s="272"/>
      <c r="N11" s="272"/>
      <c r="O11" s="272"/>
      <c r="P11" s="272"/>
      <c r="Q11" s="272" t="s">
        <v>61</v>
      </c>
      <c r="R11" s="272"/>
      <c r="S11" s="272"/>
      <c r="T11" s="274"/>
      <c r="U11" s="271"/>
      <c r="V11" s="272"/>
      <c r="W11" s="272"/>
      <c r="X11" s="271" t="s">
        <v>30</v>
      </c>
      <c r="Y11" s="271"/>
      <c r="Z11" s="274"/>
      <c r="AA11" s="9"/>
    </row>
    <row r="12" spans="1:27" ht="50.1" customHeight="1" x14ac:dyDescent="0.3">
      <c r="A12" s="266" t="s">
        <v>212</v>
      </c>
      <c r="B12" s="266" t="s">
        <v>918</v>
      </c>
      <c r="C12" s="266" t="s">
        <v>323</v>
      </c>
      <c r="D12" s="277"/>
      <c r="E12" s="70" t="s">
        <v>30</v>
      </c>
      <c r="F12" s="71" t="s">
        <v>30</v>
      </c>
      <c r="G12" s="71" t="s">
        <v>30</v>
      </c>
      <c r="H12" s="70" t="s">
        <v>30</v>
      </c>
      <c r="I12" s="70" t="s">
        <v>31</v>
      </c>
      <c r="J12" s="71" t="s">
        <v>30</v>
      </c>
      <c r="K12" s="71" t="s">
        <v>30</v>
      </c>
      <c r="L12" s="71" t="s">
        <v>30</v>
      </c>
      <c r="M12" s="71" t="s">
        <v>30</v>
      </c>
      <c r="N12" s="71" t="s">
        <v>30</v>
      </c>
      <c r="O12" s="71" t="s">
        <v>30</v>
      </c>
      <c r="P12" s="71" t="s">
        <v>31</v>
      </c>
      <c r="Q12" s="71" t="s">
        <v>30</v>
      </c>
      <c r="R12" s="71" t="s">
        <v>30</v>
      </c>
      <c r="S12" s="71" t="s">
        <v>30</v>
      </c>
      <c r="T12" s="276" t="s">
        <v>31</v>
      </c>
      <c r="U12" s="70" t="s">
        <v>54</v>
      </c>
      <c r="V12" s="71" t="s">
        <v>30</v>
      </c>
      <c r="W12" s="71" t="s">
        <v>30</v>
      </c>
      <c r="X12" s="70" t="s">
        <v>30</v>
      </c>
      <c r="Y12" s="70" t="s">
        <v>30</v>
      </c>
      <c r="Z12" s="276"/>
      <c r="AA12" s="63"/>
    </row>
    <row r="13" spans="1:27" ht="50.1" customHeight="1" thickBot="1" x14ac:dyDescent="0.35">
      <c r="A13" s="266" t="s">
        <v>213</v>
      </c>
      <c r="B13" s="266" t="s">
        <v>22</v>
      </c>
      <c r="C13" s="266" t="s">
        <v>324</v>
      </c>
      <c r="D13" s="277" t="s">
        <v>23</v>
      </c>
      <c r="E13" s="278"/>
      <c r="F13" s="279"/>
      <c r="G13" s="279"/>
      <c r="H13" s="321"/>
      <c r="I13" s="321"/>
      <c r="J13" s="272" t="s">
        <v>61</v>
      </c>
      <c r="K13" s="272" t="s">
        <v>61</v>
      </c>
      <c r="L13" s="272" t="s">
        <v>61</v>
      </c>
      <c r="M13" s="272"/>
      <c r="N13" s="272"/>
      <c r="O13" s="272"/>
      <c r="P13" s="272"/>
      <c r="Q13" s="272" t="s">
        <v>61</v>
      </c>
      <c r="R13" s="272"/>
      <c r="S13" s="272"/>
      <c r="T13" s="274"/>
      <c r="U13" s="274"/>
      <c r="V13" s="272" t="s">
        <v>61</v>
      </c>
      <c r="W13" s="272"/>
      <c r="X13" s="321"/>
      <c r="Y13" s="278"/>
      <c r="Z13" s="280"/>
      <c r="AA13" s="9"/>
    </row>
    <row r="14" spans="1:27" ht="16.2" thickBot="1" x14ac:dyDescent="0.35">
      <c r="A14" s="262" t="s">
        <v>24</v>
      </c>
      <c r="B14" s="262" t="s">
        <v>214</v>
      </c>
      <c r="C14" s="262"/>
      <c r="D14" s="262"/>
      <c r="E14" s="281"/>
      <c r="F14" s="281"/>
      <c r="G14" s="281"/>
      <c r="H14" s="234"/>
      <c r="I14" s="234"/>
      <c r="J14" s="234"/>
      <c r="K14" s="234"/>
      <c r="L14" s="234"/>
      <c r="M14" s="234"/>
      <c r="N14" s="234"/>
      <c r="O14" s="234"/>
      <c r="P14" s="234"/>
      <c r="Q14" s="234"/>
      <c r="R14" s="234"/>
      <c r="S14" s="234"/>
      <c r="T14" s="282"/>
      <c r="U14" s="282"/>
      <c r="V14" s="234"/>
      <c r="W14" s="234"/>
      <c r="X14" s="234"/>
      <c r="Y14" s="281"/>
      <c r="Z14" s="283"/>
      <c r="AA14" s="63"/>
    </row>
    <row r="15" spans="1:27" ht="74.25" customHeight="1" x14ac:dyDescent="0.3">
      <c r="A15" s="266" t="s">
        <v>25</v>
      </c>
      <c r="B15" s="266" t="s">
        <v>26</v>
      </c>
      <c r="C15" s="266" t="s">
        <v>325</v>
      </c>
      <c r="D15" s="275" t="s">
        <v>215</v>
      </c>
      <c r="E15" s="284" t="s">
        <v>61</v>
      </c>
      <c r="F15" s="66" t="s">
        <v>61</v>
      </c>
      <c r="G15" s="66" t="s">
        <v>62</v>
      </c>
      <c r="H15" s="268" t="s">
        <v>61</v>
      </c>
      <c r="I15" s="268" t="s">
        <v>31</v>
      </c>
      <c r="J15" s="71" t="s">
        <v>61</v>
      </c>
      <c r="K15" s="71" t="s">
        <v>61</v>
      </c>
      <c r="L15" s="71" t="s">
        <v>61</v>
      </c>
      <c r="M15" s="71" t="s">
        <v>61</v>
      </c>
      <c r="N15" s="71" t="s">
        <v>61</v>
      </c>
      <c r="O15" s="71" t="s">
        <v>61</v>
      </c>
      <c r="P15" s="71" t="s">
        <v>31</v>
      </c>
      <c r="Q15" s="71" t="s">
        <v>61</v>
      </c>
      <c r="R15" s="71" t="s">
        <v>61</v>
      </c>
      <c r="S15" s="71" t="s">
        <v>30</v>
      </c>
      <c r="T15" s="276" t="s">
        <v>31</v>
      </c>
      <c r="U15" s="268" t="s">
        <v>54</v>
      </c>
      <c r="V15" s="71" t="s">
        <v>61</v>
      </c>
      <c r="W15" s="71" t="s">
        <v>61</v>
      </c>
      <c r="X15" s="268" t="s">
        <v>61</v>
      </c>
      <c r="Y15" s="284" t="s">
        <v>61</v>
      </c>
      <c r="Z15" s="285"/>
      <c r="AA15" s="9"/>
    </row>
    <row r="16" spans="1:27" ht="75" customHeight="1" x14ac:dyDescent="0.3">
      <c r="A16" s="266" t="s">
        <v>27</v>
      </c>
      <c r="B16" s="286" t="s">
        <v>28</v>
      </c>
      <c r="C16" s="286" t="s">
        <v>326</v>
      </c>
      <c r="D16" s="287"/>
      <c r="E16" s="67" t="s">
        <v>61</v>
      </c>
      <c r="F16" s="68" t="s">
        <v>61</v>
      </c>
      <c r="G16" s="68" t="s">
        <v>62</v>
      </c>
      <c r="H16" s="67" t="s">
        <v>61</v>
      </c>
      <c r="I16" s="67" t="s">
        <v>31</v>
      </c>
      <c r="J16" s="68" t="s">
        <v>61</v>
      </c>
      <c r="K16" s="68" t="s">
        <v>61</v>
      </c>
      <c r="L16" s="68" t="s">
        <v>61</v>
      </c>
      <c r="M16" s="68" t="s">
        <v>61</v>
      </c>
      <c r="N16" s="68" t="s">
        <v>61</v>
      </c>
      <c r="O16" s="68" t="s">
        <v>61</v>
      </c>
      <c r="P16" s="68" t="s">
        <v>31</v>
      </c>
      <c r="Q16" s="68" t="s">
        <v>61</v>
      </c>
      <c r="R16" s="68" t="s">
        <v>61</v>
      </c>
      <c r="S16" s="272" t="s">
        <v>30</v>
      </c>
      <c r="T16" s="273" t="s">
        <v>31</v>
      </c>
      <c r="U16" s="67" t="s">
        <v>54</v>
      </c>
      <c r="V16" s="68" t="s">
        <v>61</v>
      </c>
      <c r="W16" s="68" t="s">
        <v>61</v>
      </c>
      <c r="X16" s="67" t="s">
        <v>61</v>
      </c>
      <c r="Y16" s="67" t="s">
        <v>61</v>
      </c>
      <c r="Z16" s="273"/>
      <c r="AA16" s="9"/>
    </row>
    <row r="17" spans="1:27" ht="60" customHeight="1" x14ac:dyDescent="0.3">
      <c r="A17" s="266" t="s">
        <v>29</v>
      </c>
      <c r="B17" s="266" t="s">
        <v>240</v>
      </c>
      <c r="C17" s="556" t="s">
        <v>964</v>
      </c>
      <c r="D17" s="275"/>
      <c r="E17" s="70" t="s">
        <v>30</v>
      </c>
      <c r="F17" s="70" t="s">
        <v>30</v>
      </c>
      <c r="G17" s="70" t="s">
        <v>30</v>
      </c>
      <c r="H17" s="70" t="s">
        <v>30</v>
      </c>
      <c r="I17" s="70" t="s">
        <v>31</v>
      </c>
      <c r="J17" s="70" t="s">
        <v>30</v>
      </c>
      <c r="K17" s="70" t="s">
        <v>30</v>
      </c>
      <c r="L17" s="70" t="s">
        <v>30</v>
      </c>
      <c r="M17" s="70" t="s">
        <v>30</v>
      </c>
      <c r="N17" s="70" t="s">
        <v>30</v>
      </c>
      <c r="O17" s="70" t="s">
        <v>30</v>
      </c>
      <c r="P17" s="70" t="s">
        <v>31</v>
      </c>
      <c r="Q17" s="70" t="s">
        <v>30</v>
      </c>
      <c r="R17" s="71" t="s">
        <v>30</v>
      </c>
      <c r="S17" s="71" t="s">
        <v>30</v>
      </c>
      <c r="T17" s="276" t="s">
        <v>31</v>
      </c>
      <c r="U17" s="70" t="s">
        <v>54</v>
      </c>
      <c r="V17" s="70" t="s">
        <v>30</v>
      </c>
      <c r="W17" s="70" t="s">
        <v>30</v>
      </c>
      <c r="X17" s="70" t="s">
        <v>30</v>
      </c>
      <c r="Y17" s="70" t="s">
        <v>30</v>
      </c>
      <c r="Z17" s="276"/>
      <c r="AA17" s="9"/>
    </row>
    <row r="18" spans="1:27" ht="78.75" customHeight="1" x14ac:dyDescent="0.3">
      <c r="A18" s="266" t="s">
        <v>216</v>
      </c>
      <c r="B18" s="556" t="s">
        <v>950</v>
      </c>
      <c r="C18" s="557" t="s">
        <v>327</v>
      </c>
      <c r="D18" s="267" t="s">
        <v>241</v>
      </c>
      <c r="E18" s="68" t="s">
        <v>61</v>
      </c>
      <c r="F18" s="68" t="s">
        <v>61</v>
      </c>
      <c r="G18" s="68" t="s">
        <v>62</v>
      </c>
      <c r="H18" s="68" t="s">
        <v>61</v>
      </c>
      <c r="I18" s="68" t="s">
        <v>31</v>
      </c>
      <c r="J18" s="68" t="s">
        <v>61</v>
      </c>
      <c r="K18" s="68" t="s">
        <v>61</v>
      </c>
      <c r="L18" s="68" t="s">
        <v>61</v>
      </c>
      <c r="M18" s="68"/>
      <c r="N18" s="68" t="s">
        <v>61</v>
      </c>
      <c r="O18" s="68" t="s">
        <v>61</v>
      </c>
      <c r="P18" s="68" t="s">
        <v>31</v>
      </c>
      <c r="Q18" s="68" t="s">
        <v>61</v>
      </c>
      <c r="R18" s="68" t="s">
        <v>61</v>
      </c>
      <c r="S18" s="272" t="s">
        <v>30</v>
      </c>
      <c r="T18" s="273" t="s">
        <v>31</v>
      </c>
      <c r="U18" s="68" t="s">
        <v>54</v>
      </c>
      <c r="V18" s="68" t="s">
        <v>61</v>
      </c>
      <c r="W18" s="68" t="s">
        <v>61</v>
      </c>
      <c r="X18" s="68" t="s">
        <v>61</v>
      </c>
      <c r="Y18" s="68" t="s">
        <v>61</v>
      </c>
      <c r="Z18" s="288"/>
      <c r="AA18" s="9"/>
    </row>
    <row r="19" spans="1:27" ht="69.75" customHeight="1" x14ac:dyDescent="0.3">
      <c r="A19" s="266" t="s">
        <v>32</v>
      </c>
      <c r="B19" s="556" t="s">
        <v>43</v>
      </c>
      <c r="C19" s="556" t="s">
        <v>963</v>
      </c>
      <c r="D19" s="558" t="s">
        <v>285</v>
      </c>
      <c r="E19" s="70" t="s">
        <v>61</v>
      </c>
      <c r="F19" s="71" t="s">
        <v>61</v>
      </c>
      <c r="G19" s="71" t="s">
        <v>62</v>
      </c>
      <c r="H19" s="70" t="s">
        <v>61</v>
      </c>
      <c r="I19" s="70" t="s">
        <v>31</v>
      </c>
      <c r="J19" s="71" t="s">
        <v>61</v>
      </c>
      <c r="K19" s="71" t="s">
        <v>61</v>
      </c>
      <c r="L19" s="70" t="s">
        <v>61</v>
      </c>
      <c r="M19" s="70" t="s">
        <v>61</v>
      </c>
      <c r="N19" s="70" t="s">
        <v>61</v>
      </c>
      <c r="O19" s="70" t="s">
        <v>61</v>
      </c>
      <c r="P19" s="70" t="s">
        <v>31</v>
      </c>
      <c r="Q19" s="70" t="s">
        <v>61</v>
      </c>
      <c r="R19" s="71" t="s">
        <v>61</v>
      </c>
      <c r="S19" s="71" t="s">
        <v>30</v>
      </c>
      <c r="T19" s="276" t="s">
        <v>31</v>
      </c>
      <c r="U19" s="70" t="s">
        <v>54</v>
      </c>
      <c r="V19" s="70" t="s">
        <v>61</v>
      </c>
      <c r="W19" s="70" t="s">
        <v>61</v>
      </c>
      <c r="X19" s="70" t="s">
        <v>61</v>
      </c>
      <c r="Y19" s="70" t="s">
        <v>61</v>
      </c>
      <c r="Z19" s="276"/>
      <c r="AA19" s="9"/>
    </row>
    <row r="20" spans="1:27" ht="50.1" customHeight="1" x14ac:dyDescent="0.3">
      <c r="A20" s="266" t="s">
        <v>217</v>
      </c>
      <c r="B20" s="266" t="s">
        <v>918</v>
      </c>
      <c r="C20" s="266" t="s">
        <v>328</v>
      </c>
      <c r="D20" s="267" t="s">
        <v>218</v>
      </c>
      <c r="E20" s="68" t="s">
        <v>61</v>
      </c>
      <c r="F20" s="68" t="s">
        <v>61</v>
      </c>
      <c r="G20" s="68" t="s">
        <v>62</v>
      </c>
      <c r="H20" s="68" t="s">
        <v>61</v>
      </c>
      <c r="I20" s="68" t="s">
        <v>31</v>
      </c>
      <c r="J20" s="68" t="s">
        <v>61</v>
      </c>
      <c r="K20" s="68" t="s">
        <v>61</v>
      </c>
      <c r="L20" s="68" t="s">
        <v>61</v>
      </c>
      <c r="M20" s="68" t="s">
        <v>61</v>
      </c>
      <c r="N20" s="68" t="s">
        <v>61</v>
      </c>
      <c r="O20" s="68" t="s">
        <v>61</v>
      </c>
      <c r="P20" s="68" t="s">
        <v>31</v>
      </c>
      <c r="Q20" s="68" t="s">
        <v>61</v>
      </c>
      <c r="R20" s="68" t="s">
        <v>61</v>
      </c>
      <c r="S20" s="272" t="s">
        <v>30</v>
      </c>
      <c r="T20" s="273" t="s">
        <v>31</v>
      </c>
      <c r="U20" s="68" t="s">
        <v>54</v>
      </c>
      <c r="V20" s="68" t="s">
        <v>61</v>
      </c>
      <c r="W20" s="68" t="s">
        <v>61</v>
      </c>
      <c r="X20" s="68" t="s">
        <v>61</v>
      </c>
      <c r="Y20" s="68" t="s">
        <v>61</v>
      </c>
      <c r="Z20" s="288"/>
      <c r="AA20" s="9"/>
    </row>
    <row r="21" spans="1:27" ht="50.1" customHeight="1" x14ac:dyDescent="0.3">
      <c r="A21" s="266" t="s">
        <v>219</v>
      </c>
      <c r="B21" s="266" t="s">
        <v>220</v>
      </c>
      <c r="C21" s="556" t="s">
        <v>951</v>
      </c>
      <c r="D21" s="267" t="s">
        <v>221</v>
      </c>
      <c r="E21" s="70" t="s">
        <v>61</v>
      </c>
      <c r="F21" s="71" t="s">
        <v>61</v>
      </c>
      <c r="G21" s="71" t="s">
        <v>62</v>
      </c>
      <c r="H21" s="70" t="s">
        <v>61</v>
      </c>
      <c r="I21" s="70" t="s">
        <v>31</v>
      </c>
      <c r="J21" s="71"/>
      <c r="K21" s="71"/>
      <c r="L21" s="70"/>
      <c r="M21" s="70"/>
      <c r="N21" s="70" t="s">
        <v>61</v>
      </c>
      <c r="O21" s="70" t="s">
        <v>61</v>
      </c>
      <c r="P21" s="70" t="s">
        <v>31</v>
      </c>
      <c r="Q21" s="70" t="s">
        <v>61</v>
      </c>
      <c r="R21" s="71"/>
      <c r="S21" s="71"/>
      <c r="T21" s="276"/>
      <c r="U21" s="70"/>
      <c r="V21" s="70" t="s">
        <v>61</v>
      </c>
      <c r="W21" s="70" t="s">
        <v>61</v>
      </c>
      <c r="X21" s="70" t="s">
        <v>61</v>
      </c>
      <c r="Y21" s="70" t="s">
        <v>61</v>
      </c>
      <c r="Z21" s="276"/>
      <c r="AA21" s="9"/>
    </row>
    <row r="22" spans="1:27" ht="70.5" customHeight="1" x14ac:dyDescent="0.3">
      <c r="A22" s="266" t="s">
        <v>34</v>
      </c>
      <c r="B22" s="266" t="s">
        <v>918</v>
      </c>
      <c r="C22" s="556" t="s">
        <v>962</v>
      </c>
      <c r="D22" s="277"/>
      <c r="E22" s="68" t="s">
        <v>61</v>
      </c>
      <c r="F22" s="68" t="s">
        <v>61</v>
      </c>
      <c r="G22" s="68" t="s">
        <v>62</v>
      </c>
      <c r="H22" s="68" t="s">
        <v>61</v>
      </c>
      <c r="I22" s="68" t="s">
        <v>31</v>
      </c>
      <c r="J22" s="68" t="s">
        <v>61</v>
      </c>
      <c r="K22" s="68"/>
      <c r="L22" s="68" t="s">
        <v>30</v>
      </c>
      <c r="M22" s="68"/>
      <c r="N22" s="68" t="s">
        <v>61</v>
      </c>
      <c r="O22" s="68" t="s">
        <v>61</v>
      </c>
      <c r="P22" s="68" t="s">
        <v>31</v>
      </c>
      <c r="Q22" s="68" t="s">
        <v>61</v>
      </c>
      <c r="R22" s="68"/>
      <c r="S22" s="68"/>
      <c r="T22" s="273"/>
      <c r="U22" s="68"/>
      <c r="V22" s="68" t="s">
        <v>61</v>
      </c>
      <c r="W22" s="68" t="s">
        <v>61</v>
      </c>
      <c r="X22" s="68" t="s">
        <v>61</v>
      </c>
      <c r="Y22" s="68" t="s">
        <v>61</v>
      </c>
      <c r="Z22" s="288"/>
      <c r="AA22" s="9"/>
    </row>
    <row r="23" spans="1:27" ht="73.5" customHeight="1" x14ac:dyDescent="0.3">
      <c r="A23" s="266" t="s">
        <v>222</v>
      </c>
      <c r="B23" s="266" t="s">
        <v>918</v>
      </c>
      <c r="C23" s="266" t="s">
        <v>329</v>
      </c>
      <c r="D23" s="558" t="s">
        <v>952</v>
      </c>
      <c r="E23" s="70" t="s">
        <v>61</v>
      </c>
      <c r="F23" s="71" t="s">
        <v>61</v>
      </c>
      <c r="G23" s="71" t="s">
        <v>62</v>
      </c>
      <c r="H23" s="70" t="s">
        <v>61</v>
      </c>
      <c r="I23" s="70" t="s">
        <v>31</v>
      </c>
      <c r="J23" s="71"/>
      <c r="K23" s="71"/>
      <c r="L23" s="70"/>
      <c r="M23" s="70"/>
      <c r="N23" s="70" t="s">
        <v>61</v>
      </c>
      <c r="O23" s="70" t="s">
        <v>61</v>
      </c>
      <c r="P23" s="70" t="s">
        <v>31</v>
      </c>
      <c r="Q23" s="70" t="s">
        <v>61</v>
      </c>
      <c r="R23" s="71"/>
      <c r="S23" s="71"/>
      <c r="T23" s="276"/>
      <c r="U23" s="70"/>
      <c r="V23" s="70" t="s">
        <v>61</v>
      </c>
      <c r="W23" s="70" t="s">
        <v>61</v>
      </c>
      <c r="X23" s="70" t="s">
        <v>61</v>
      </c>
      <c r="Y23" s="70" t="s">
        <v>61</v>
      </c>
      <c r="Z23" s="276"/>
      <c r="AA23" s="9"/>
    </row>
    <row r="24" spans="1:27" ht="79.5" customHeight="1" x14ac:dyDescent="0.3">
      <c r="A24" s="266" t="s">
        <v>223</v>
      </c>
      <c r="B24" s="266" t="s">
        <v>918</v>
      </c>
      <c r="C24" s="556" t="s">
        <v>961</v>
      </c>
      <c r="D24" s="267" t="s">
        <v>224</v>
      </c>
      <c r="E24" s="68" t="s">
        <v>61</v>
      </c>
      <c r="F24" s="68" t="s">
        <v>61</v>
      </c>
      <c r="G24" s="68" t="s">
        <v>62</v>
      </c>
      <c r="H24" s="68" t="s">
        <v>61</v>
      </c>
      <c r="I24" s="68" t="s">
        <v>31</v>
      </c>
      <c r="J24" s="68"/>
      <c r="K24" s="68"/>
      <c r="L24" s="68"/>
      <c r="M24" s="68"/>
      <c r="N24" s="68" t="s">
        <v>61</v>
      </c>
      <c r="O24" s="68" t="s">
        <v>61</v>
      </c>
      <c r="P24" s="68" t="s">
        <v>31</v>
      </c>
      <c r="Q24" s="68" t="s">
        <v>61</v>
      </c>
      <c r="R24" s="68"/>
      <c r="S24" s="68"/>
      <c r="T24" s="273"/>
      <c r="U24" s="68"/>
      <c r="V24" s="68" t="s">
        <v>61</v>
      </c>
      <c r="W24" s="68" t="s">
        <v>61</v>
      </c>
      <c r="X24" s="68" t="s">
        <v>61</v>
      </c>
      <c r="Y24" s="68" t="s">
        <v>61</v>
      </c>
      <c r="Z24" s="288"/>
      <c r="AA24" s="9"/>
    </row>
    <row r="25" spans="1:27" ht="69.75" customHeight="1" x14ac:dyDescent="0.3">
      <c r="A25" s="266" t="s">
        <v>225</v>
      </c>
      <c r="B25" s="266" t="s">
        <v>918</v>
      </c>
      <c r="C25" s="556" t="s">
        <v>953</v>
      </c>
      <c r="D25" s="277"/>
      <c r="E25" s="70"/>
      <c r="F25" s="71"/>
      <c r="G25" s="71"/>
      <c r="H25" s="70" t="s">
        <v>61</v>
      </c>
      <c r="I25" s="70" t="s">
        <v>31</v>
      </c>
      <c r="J25" s="71"/>
      <c r="K25" s="71"/>
      <c r="L25" s="70"/>
      <c r="M25" s="70"/>
      <c r="N25" s="70"/>
      <c r="O25" s="70"/>
      <c r="P25" s="70"/>
      <c r="Q25" s="70"/>
      <c r="R25" s="71"/>
      <c r="S25" s="71"/>
      <c r="T25" s="276"/>
      <c r="U25" s="70"/>
      <c r="V25" s="70"/>
      <c r="W25" s="70"/>
      <c r="X25" s="70"/>
      <c r="Y25" s="70"/>
      <c r="Z25" s="276"/>
      <c r="AA25" s="9"/>
    </row>
    <row r="26" spans="1:27" ht="85.5" customHeight="1" x14ac:dyDescent="0.3">
      <c r="A26" s="266" t="s">
        <v>35</v>
      </c>
      <c r="B26" s="266" t="s">
        <v>918</v>
      </c>
      <c r="C26" s="556" t="s">
        <v>960</v>
      </c>
      <c r="D26" s="277" t="s">
        <v>36</v>
      </c>
      <c r="E26" s="68" t="s">
        <v>61</v>
      </c>
      <c r="F26" s="68" t="s">
        <v>61</v>
      </c>
      <c r="G26" s="68" t="s">
        <v>62</v>
      </c>
      <c r="H26" s="68" t="s">
        <v>61</v>
      </c>
      <c r="I26" s="68" t="s">
        <v>31</v>
      </c>
      <c r="J26" s="68"/>
      <c r="K26" s="68"/>
      <c r="L26" s="68"/>
      <c r="M26" s="68"/>
      <c r="N26" s="68" t="s">
        <v>61</v>
      </c>
      <c r="O26" s="68" t="s">
        <v>61</v>
      </c>
      <c r="P26" s="68" t="s">
        <v>31</v>
      </c>
      <c r="Q26" s="68" t="s">
        <v>61</v>
      </c>
      <c r="R26" s="68" t="s">
        <v>61</v>
      </c>
      <c r="S26" s="272" t="s">
        <v>30</v>
      </c>
      <c r="T26" s="273" t="s">
        <v>31</v>
      </c>
      <c r="U26" s="68" t="s">
        <v>54</v>
      </c>
      <c r="V26" s="68" t="s">
        <v>61</v>
      </c>
      <c r="W26" s="68" t="s">
        <v>61</v>
      </c>
      <c r="X26" s="68" t="s">
        <v>61</v>
      </c>
      <c r="Y26" s="68" t="s">
        <v>61</v>
      </c>
      <c r="Z26" s="288"/>
      <c r="AA26" s="9"/>
    </row>
    <row r="27" spans="1:27" ht="66.75" customHeight="1" x14ac:dyDescent="0.3">
      <c r="A27" s="266" t="s">
        <v>37</v>
      </c>
      <c r="B27" s="266" t="s">
        <v>918</v>
      </c>
      <c r="C27" s="556" t="s">
        <v>954</v>
      </c>
      <c r="D27" s="277" t="s">
        <v>226</v>
      </c>
      <c r="E27" s="70"/>
      <c r="F27" s="71"/>
      <c r="G27" s="71"/>
      <c r="H27" s="70"/>
      <c r="I27" s="70"/>
      <c r="J27" s="71"/>
      <c r="K27" s="71"/>
      <c r="L27" s="70"/>
      <c r="M27" s="70"/>
      <c r="N27" s="70"/>
      <c r="O27" s="70"/>
      <c r="P27" s="70"/>
      <c r="Q27" s="70"/>
      <c r="R27" s="71"/>
      <c r="S27" s="71"/>
      <c r="T27" s="276"/>
      <c r="U27" s="70"/>
      <c r="V27" s="70"/>
      <c r="W27" s="70"/>
      <c r="X27" s="70" t="s">
        <v>61</v>
      </c>
      <c r="Y27" s="70"/>
      <c r="Z27" s="276"/>
      <c r="AA27" s="9"/>
    </row>
    <row r="28" spans="1:27" ht="60.75" customHeight="1" x14ac:dyDescent="0.3">
      <c r="A28" s="266" t="s">
        <v>227</v>
      </c>
      <c r="B28" s="266" t="s">
        <v>918</v>
      </c>
      <c r="C28" s="266" t="s">
        <v>330</v>
      </c>
      <c r="D28" s="277" t="s">
        <v>228</v>
      </c>
      <c r="E28" s="68" t="s">
        <v>61</v>
      </c>
      <c r="F28" s="68" t="s">
        <v>61</v>
      </c>
      <c r="G28" s="68" t="s">
        <v>62</v>
      </c>
      <c r="H28" s="68"/>
      <c r="I28" s="68"/>
      <c r="J28" s="68"/>
      <c r="K28" s="68"/>
      <c r="L28" s="68"/>
      <c r="M28" s="68"/>
      <c r="N28" s="68" t="s">
        <v>61</v>
      </c>
      <c r="O28" s="68"/>
      <c r="P28" s="68"/>
      <c r="Q28" s="68" t="s">
        <v>61</v>
      </c>
      <c r="R28" s="68"/>
      <c r="S28" s="68"/>
      <c r="T28" s="273"/>
      <c r="U28" s="68"/>
      <c r="V28" s="68" t="s">
        <v>61</v>
      </c>
      <c r="W28" s="68"/>
      <c r="X28" s="68"/>
      <c r="Y28" s="68"/>
      <c r="Z28" s="288"/>
      <c r="AA28" s="9"/>
    </row>
    <row r="29" spans="1:27" ht="50.1" customHeight="1" x14ac:dyDescent="0.3">
      <c r="A29" s="266" t="s">
        <v>229</v>
      </c>
      <c r="B29" s="266" t="s">
        <v>918</v>
      </c>
      <c r="C29" s="266" t="s">
        <v>331</v>
      </c>
      <c r="D29" s="277"/>
      <c r="E29" s="70"/>
      <c r="F29" s="71"/>
      <c r="G29" s="71"/>
      <c r="H29" s="70"/>
      <c r="I29" s="70"/>
      <c r="J29" s="71"/>
      <c r="K29" s="71"/>
      <c r="L29" s="70"/>
      <c r="M29" s="70"/>
      <c r="N29" s="70" t="s">
        <v>61</v>
      </c>
      <c r="O29" s="70"/>
      <c r="P29" s="70"/>
      <c r="Q29" s="70"/>
      <c r="R29" s="71"/>
      <c r="S29" s="71"/>
      <c r="T29" s="276"/>
      <c r="U29" s="70"/>
      <c r="V29" s="70"/>
      <c r="W29" s="70"/>
      <c r="X29" s="70"/>
      <c r="Y29" s="70"/>
      <c r="Z29" s="276"/>
      <c r="AA29" s="9"/>
    </row>
    <row r="30" spans="1:27" ht="50.1" customHeight="1" x14ac:dyDescent="0.3">
      <c r="A30" s="266" t="s">
        <v>230</v>
      </c>
      <c r="B30" s="266" t="s">
        <v>43</v>
      </c>
      <c r="C30" s="266" t="s">
        <v>332</v>
      </c>
      <c r="D30" s="267" t="s">
        <v>933</v>
      </c>
      <c r="E30" s="68"/>
      <c r="F30" s="68"/>
      <c r="G30" s="68"/>
      <c r="H30" s="68"/>
      <c r="I30" s="68"/>
      <c r="J30" s="68"/>
      <c r="K30" s="68"/>
      <c r="L30" s="68"/>
      <c r="M30" s="68"/>
      <c r="N30" s="68"/>
      <c r="O30" s="68"/>
      <c r="P30" s="68"/>
      <c r="Q30" s="68"/>
      <c r="R30" s="68"/>
      <c r="S30" s="68"/>
      <c r="T30" s="273"/>
      <c r="U30" s="68"/>
      <c r="V30" s="68"/>
      <c r="W30" s="68" t="s">
        <v>30</v>
      </c>
      <c r="X30" s="68"/>
      <c r="Y30" s="68"/>
      <c r="Z30" s="288"/>
      <c r="AA30" s="9"/>
    </row>
    <row r="31" spans="1:27" ht="59.4" customHeight="1" x14ac:dyDescent="0.3">
      <c r="A31" s="266" t="s">
        <v>1006</v>
      </c>
      <c r="B31" s="266" t="s">
        <v>918</v>
      </c>
      <c r="C31" s="556" t="s">
        <v>955</v>
      </c>
      <c r="D31" s="277"/>
      <c r="E31" s="70"/>
      <c r="F31" s="71"/>
      <c r="G31" s="71"/>
      <c r="H31" s="70"/>
      <c r="I31" s="70"/>
      <c r="J31" s="71"/>
      <c r="K31" s="71"/>
      <c r="L31" s="71"/>
      <c r="M31" s="71"/>
      <c r="N31" s="71"/>
      <c r="O31" s="71"/>
      <c r="P31" s="71"/>
      <c r="Q31" s="71"/>
      <c r="R31" s="71"/>
      <c r="S31" s="71"/>
      <c r="T31" s="276"/>
      <c r="U31" s="70"/>
      <c r="V31" s="71"/>
      <c r="W31" s="71"/>
      <c r="X31" s="70"/>
      <c r="Y31" s="70"/>
      <c r="Z31" s="276"/>
      <c r="AA31" s="9"/>
    </row>
    <row r="32" spans="1:27" ht="67.2" customHeight="1" thickBot="1" x14ac:dyDescent="0.35">
      <c r="A32" s="266" t="s">
        <v>286</v>
      </c>
      <c r="B32" s="266" t="s">
        <v>287</v>
      </c>
      <c r="C32" s="556" t="s">
        <v>956</v>
      </c>
      <c r="D32" s="277" t="s">
        <v>285</v>
      </c>
      <c r="E32" s="68" t="s">
        <v>30</v>
      </c>
      <c r="F32" s="68" t="s">
        <v>30</v>
      </c>
      <c r="G32" s="68" t="s">
        <v>30</v>
      </c>
      <c r="H32" s="68"/>
      <c r="I32" s="68"/>
      <c r="J32" s="68" t="s">
        <v>61</v>
      </c>
      <c r="K32" s="68"/>
      <c r="L32" s="68" t="s">
        <v>61</v>
      </c>
      <c r="M32" s="68"/>
      <c r="N32" s="68" t="s">
        <v>30</v>
      </c>
      <c r="O32" s="68" t="s">
        <v>61</v>
      </c>
      <c r="P32" s="68" t="s">
        <v>31</v>
      </c>
      <c r="Q32" s="68" t="s">
        <v>61</v>
      </c>
      <c r="R32" s="68"/>
      <c r="S32" s="68"/>
      <c r="T32" s="273"/>
      <c r="U32" s="68"/>
      <c r="V32" s="68" t="s">
        <v>30</v>
      </c>
      <c r="W32" s="68" t="s">
        <v>30</v>
      </c>
      <c r="X32" s="68"/>
      <c r="Y32" s="68" t="s">
        <v>61</v>
      </c>
      <c r="Z32" s="288"/>
      <c r="AA32" s="9"/>
    </row>
    <row r="33" spans="1:27" ht="24" customHeight="1" thickBot="1" x14ac:dyDescent="0.35">
      <c r="A33" s="262" t="s">
        <v>38</v>
      </c>
      <c r="B33" s="262" t="s">
        <v>232</v>
      </c>
      <c r="C33" s="262"/>
      <c r="D33" s="262"/>
      <c r="E33" s="289"/>
      <c r="F33" s="289"/>
      <c r="G33" s="289"/>
      <c r="H33" s="289"/>
      <c r="I33" s="289"/>
      <c r="J33" s="289"/>
      <c r="K33" s="289"/>
      <c r="L33" s="289"/>
      <c r="M33" s="289"/>
      <c r="N33" s="289"/>
      <c r="O33" s="289"/>
      <c r="P33" s="289"/>
      <c r="Q33" s="289"/>
      <c r="R33" s="289"/>
      <c r="S33" s="289"/>
      <c r="T33" s="290"/>
      <c r="U33" s="289"/>
      <c r="V33" s="289"/>
      <c r="W33" s="289"/>
      <c r="X33" s="289"/>
      <c r="Y33" s="289"/>
      <c r="Z33" s="290"/>
      <c r="AA33" s="63"/>
    </row>
    <row r="34" spans="1:27" ht="68.25" customHeight="1" x14ac:dyDescent="0.3">
      <c r="A34" s="266" t="s">
        <v>33</v>
      </c>
      <c r="B34" s="266" t="s">
        <v>918</v>
      </c>
      <c r="C34" s="556" t="s">
        <v>333</v>
      </c>
      <c r="D34" s="267" t="s">
        <v>39</v>
      </c>
      <c r="E34" s="70" t="s">
        <v>31</v>
      </c>
      <c r="F34" s="70" t="s">
        <v>31</v>
      </c>
      <c r="G34" s="70" t="s">
        <v>31</v>
      </c>
      <c r="H34" s="70" t="s">
        <v>31</v>
      </c>
      <c r="I34" s="70" t="s">
        <v>31</v>
      </c>
      <c r="J34" s="70" t="s">
        <v>31</v>
      </c>
      <c r="K34" s="70" t="s">
        <v>31</v>
      </c>
      <c r="L34" s="70" t="s">
        <v>31</v>
      </c>
      <c r="M34" s="70" t="s">
        <v>31</v>
      </c>
      <c r="N34" s="70" t="s">
        <v>31</v>
      </c>
      <c r="O34" s="70" t="s">
        <v>31</v>
      </c>
      <c r="P34" s="70" t="s">
        <v>31</v>
      </c>
      <c r="Q34" s="70" t="s">
        <v>30</v>
      </c>
      <c r="R34" s="69" t="s">
        <v>31</v>
      </c>
      <c r="S34" s="69" t="s">
        <v>31</v>
      </c>
      <c r="T34" s="291" t="s">
        <v>31</v>
      </c>
      <c r="U34" s="70" t="s">
        <v>54</v>
      </c>
      <c r="V34" s="70" t="s">
        <v>31</v>
      </c>
      <c r="W34" s="70" t="s">
        <v>31</v>
      </c>
      <c r="X34" s="268" t="s">
        <v>30</v>
      </c>
      <c r="Y34" s="70" t="s">
        <v>31</v>
      </c>
      <c r="Z34" s="276"/>
      <c r="AA34" s="292"/>
    </row>
    <row r="35" spans="1:27" ht="66.75" customHeight="1" x14ac:dyDescent="0.3">
      <c r="A35" s="266" t="s">
        <v>35</v>
      </c>
      <c r="B35" s="266" t="s">
        <v>918</v>
      </c>
      <c r="C35" s="556" t="s">
        <v>333</v>
      </c>
      <c r="D35" s="277" t="s">
        <v>40</v>
      </c>
      <c r="E35" s="67" t="s">
        <v>31</v>
      </c>
      <c r="F35" s="67" t="s">
        <v>31</v>
      </c>
      <c r="G35" s="67" t="s">
        <v>31</v>
      </c>
      <c r="H35" s="67" t="s">
        <v>30</v>
      </c>
      <c r="I35" s="67" t="s">
        <v>31</v>
      </c>
      <c r="J35" s="68"/>
      <c r="K35" s="68"/>
      <c r="L35" s="68"/>
      <c r="M35" s="68"/>
      <c r="N35" s="68" t="s">
        <v>31</v>
      </c>
      <c r="O35" s="68" t="s">
        <v>31</v>
      </c>
      <c r="P35" s="68" t="s">
        <v>31</v>
      </c>
      <c r="Q35" s="68" t="s">
        <v>31</v>
      </c>
      <c r="R35" s="68" t="s">
        <v>61</v>
      </c>
      <c r="S35" s="68" t="s">
        <v>31</v>
      </c>
      <c r="T35" s="273" t="s">
        <v>31</v>
      </c>
      <c r="U35" s="67" t="s">
        <v>54</v>
      </c>
      <c r="V35" s="68" t="s">
        <v>31</v>
      </c>
      <c r="W35" s="68" t="s">
        <v>31</v>
      </c>
      <c r="X35" s="67" t="s">
        <v>30</v>
      </c>
      <c r="Y35" s="67" t="s">
        <v>31</v>
      </c>
      <c r="Z35" s="273"/>
      <c r="AA35" s="292"/>
    </row>
    <row r="36" spans="1:27" ht="50.1" customHeight="1" x14ac:dyDescent="0.3">
      <c r="A36" s="266" t="s">
        <v>45</v>
      </c>
      <c r="B36" s="266" t="s">
        <v>918</v>
      </c>
      <c r="C36" s="266" t="s">
        <v>333</v>
      </c>
      <c r="D36" s="267" t="s">
        <v>46</v>
      </c>
      <c r="E36" s="268" t="s">
        <v>31</v>
      </c>
      <c r="F36" s="72" t="s">
        <v>31</v>
      </c>
      <c r="G36" s="72" t="s">
        <v>31</v>
      </c>
      <c r="H36" s="322"/>
      <c r="I36" s="322"/>
      <c r="J36" s="72" t="s">
        <v>31</v>
      </c>
      <c r="K36" s="72"/>
      <c r="L36" s="72"/>
      <c r="M36" s="72"/>
      <c r="N36" s="72" t="s">
        <v>31</v>
      </c>
      <c r="O36" s="72" t="s">
        <v>31</v>
      </c>
      <c r="P36" s="72" t="s">
        <v>31</v>
      </c>
      <c r="Q36" s="72" t="s">
        <v>31</v>
      </c>
      <c r="R36" s="72" t="s">
        <v>31</v>
      </c>
      <c r="S36" s="72" t="s">
        <v>31</v>
      </c>
      <c r="T36" s="293" t="s">
        <v>31</v>
      </c>
      <c r="U36" s="322" t="s">
        <v>54</v>
      </c>
      <c r="V36" s="72" t="s">
        <v>31</v>
      </c>
      <c r="W36" s="72" t="s">
        <v>31</v>
      </c>
      <c r="X36" s="322"/>
      <c r="Y36" s="268" t="s">
        <v>31</v>
      </c>
      <c r="Z36" s="270"/>
      <c r="AA36" s="9"/>
    </row>
    <row r="37" spans="1:27" ht="87.75" customHeight="1" x14ac:dyDescent="0.3">
      <c r="A37" s="266" t="s">
        <v>233</v>
      </c>
      <c r="B37" s="266" t="s">
        <v>919</v>
      </c>
      <c r="C37" s="556" t="s">
        <v>958</v>
      </c>
      <c r="D37" s="559" t="s">
        <v>957</v>
      </c>
      <c r="E37" s="67" t="s">
        <v>31</v>
      </c>
      <c r="F37" s="68" t="s">
        <v>31</v>
      </c>
      <c r="G37" s="68" t="s">
        <v>31</v>
      </c>
      <c r="H37" s="67" t="s">
        <v>31</v>
      </c>
      <c r="I37" s="67" t="s">
        <v>31</v>
      </c>
      <c r="J37" s="68" t="s">
        <v>31</v>
      </c>
      <c r="K37" s="68"/>
      <c r="L37" s="68" t="s">
        <v>31</v>
      </c>
      <c r="M37" s="68"/>
      <c r="N37" s="68" t="s">
        <v>31</v>
      </c>
      <c r="O37" s="68" t="s">
        <v>31</v>
      </c>
      <c r="P37" s="68" t="s">
        <v>31</v>
      </c>
      <c r="Q37" s="68" t="s">
        <v>31</v>
      </c>
      <c r="R37" s="68" t="s">
        <v>31</v>
      </c>
      <c r="S37" s="68" t="s">
        <v>31</v>
      </c>
      <c r="T37" s="273" t="s">
        <v>31</v>
      </c>
      <c r="U37" s="67" t="s">
        <v>54</v>
      </c>
      <c r="V37" s="68" t="s">
        <v>31</v>
      </c>
      <c r="W37" s="68" t="s">
        <v>31</v>
      </c>
      <c r="X37" s="67" t="s">
        <v>31</v>
      </c>
      <c r="Y37" s="67" t="s">
        <v>31</v>
      </c>
      <c r="Z37" s="273"/>
      <c r="AA37" s="9"/>
    </row>
    <row r="38" spans="1:27" ht="87" customHeight="1" x14ac:dyDescent="0.3">
      <c r="A38" s="266" t="s">
        <v>41</v>
      </c>
      <c r="B38" s="266" t="s">
        <v>43</v>
      </c>
      <c r="C38" s="556" t="s">
        <v>959</v>
      </c>
      <c r="D38" s="558"/>
      <c r="E38" s="294"/>
      <c r="F38" s="73"/>
      <c r="G38" s="73"/>
      <c r="H38" s="555" t="s">
        <v>61</v>
      </c>
      <c r="I38" s="294" t="s">
        <v>31</v>
      </c>
      <c r="J38" s="73" t="s">
        <v>31</v>
      </c>
      <c r="K38" s="73" t="s">
        <v>31</v>
      </c>
      <c r="L38" s="73" t="s">
        <v>31</v>
      </c>
      <c r="M38" s="73" t="s">
        <v>61</v>
      </c>
      <c r="N38" s="73" t="s">
        <v>30</v>
      </c>
      <c r="O38" s="73" t="s">
        <v>30</v>
      </c>
      <c r="P38" s="73" t="s">
        <v>31</v>
      </c>
      <c r="Q38" s="73" t="s">
        <v>30</v>
      </c>
      <c r="R38" s="73" t="s">
        <v>31</v>
      </c>
      <c r="S38" s="73" t="s">
        <v>31</v>
      </c>
      <c r="T38" s="295" t="s">
        <v>31</v>
      </c>
      <c r="U38" s="294" t="s">
        <v>54</v>
      </c>
      <c r="V38" s="554" t="s">
        <v>61</v>
      </c>
      <c r="W38" s="554" t="s">
        <v>61</v>
      </c>
      <c r="X38" s="294" t="s">
        <v>30</v>
      </c>
      <c r="Y38" s="294"/>
      <c r="Z38" s="295"/>
      <c r="AA38" s="63"/>
    </row>
    <row r="39" spans="1:27" ht="72" customHeight="1" thickBot="1" x14ac:dyDescent="0.35">
      <c r="A39" s="266" t="s">
        <v>42</v>
      </c>
      <c r="B39" s="266" t="s">
        <v>43</v>
      </c>
      <c r="C39" s="266" t="s">
        <v>972</v>
      </c>
      <c r="D39" s="558" t="s">
        <v>965</v>
      </c>
      <c r="E39" s="67" t="s">
        <v>31</v>
      </c>
      <c r="F39" s="67" t="s">
        <v>31</v>
      </c>
      <c r="G39" s="67" t="s">
        <v>31</v>
      </c>
      <c r="H39" s="67" t="s">
        <v>31</v>
      </c>
      <c r="I39" s="67" t="s">
        <v>31</v>
      </c>
      <c r="J39" s="67" t="s">
        <v>31</v>
      </c>
      <c r="K39" s="67" t="s">
        <v>31</v>
      </c>
      <c r="L39" s="67" t="s">
        <v>31</v>
      </c>
      <c r="M39" s="67" t="s">
        <v>31</v>
      </c>
      <c r="N39" s="67" t="s">
        <v>31</v>
      </c>
      <c r="O39" s="67" t="s">
        <v>31</v>
      </c>
      <c r="P39" s="67" t="s">
        <v>31</v>
      </c>
      <c r="Q39" s="67" t="s">
        <v>31</v>
      </c>
      <c r="R39" s="67" t="s">
        <v>31</v>
      </c>
      <c r="S39" s="67" t="s">
        <v>31</v>
      </c>
      <c r="T39" s="273" t="s">
        <v>31</v>
      </c>
      <c r="U39" s="67" t="s">
        <v>54</v>
      </c>
      <c r="V39" s="67" t="s">
        <v>31</v>
      </c>
      <c r="W39" s="67" t="s">
        <v>31</v>
      </c>
      <c r="X39" s="67" t="s">
        <v>31</v>
      </c>
      <c r="Y39" s="67" t="s">
        <v>31</v>
      </c>
      <c r="Z39" s="273"/>
      <c r="AA39" s="9"/>
    </row>
    <row r="40" spans="1:27" ht="31.5" customHeight="1" thickBot="1" x14ac:dyDescent="0.35">
      <c r="A40" s="262" t="s">
        <v>44</v>
      </c>
      <c r="B40" s="262" t="s">
        <v>234</v>
      </c>
      <c r="C40" s="262"/>
      <c r="D40" s="262"/>
      <c r="E40" s="289"/>
      <c r="F40" s="289"/>
      <c r="G40" s="289"/>
      <c r="H40" s="289"/>
      <c r="I40" s="289"/>
      <c r="J40" s="289"/>
      <c r="K40" s="289"/>
      <c r="L40" s="289"/>
      <c r="M40" s="289"/>
      <c r="N40" s="289"/>
      <c r="O40" s="289"/>
      <c r="P40" s="289"/>
      <c r="Q40" s="289"/>
      <c r="R40" s="289"/>
      <c r="S40" s="289"/>
      <c r="T40" s="290"/>
      <c r="U40" s="289"/>
      <c r="V40" s="289"/>
      <c r="W40" s="289"/>
      <c r="X40" s="289"/>
      <c r="Y40" s="289"/>
      <c r="Z40" s="290"/>
      <c r="AA40" s="63"/>
    </row>
    <row r="41" spans="1:27" ht="60.75" customHeight="1" x14ac:dyDescent="0.3">
      <c r="A41" s="266" t="s">
        <v>47</v>
      </c>
      <c r="B41" s="266" t="s">
        <v>918</v>
      </c>
      <c r="C41" s="266" t="s">
        <v>334</v>
      </c>
      <c r="D41" s="277" t="s">
        <v>48</v>
      </c>
      <c r="E41" s="67" t="s">
        <v>31</v>
      </c>
      <c r="F41" s="67" t="s">
        <v>31</v>
      </c>
      <c r="G41" s="67" t="s">
        <v>31</v>
      </c>
      <c r="H41" s="67" t="s">
        <v>31</v>
      </c>
      <c r="I41" s="67" t="s">
        <v>31</v>
      </c>
      <c r="J41" s="67" t="s">
        <v>31</v>
      </c>
      <c r="K41" s="67" t="s">
        <v>31</v>
      </c>
      <c r="L41" s="68" t="s">
        <v>31</v>
      </c>
      <c r="M41" s="68" t="s">
        <v>31</v>
      </c>
      <c r="N41" s="68" t="s">
        <v>31</v>
      </c>
      <c r="O41" s="68" t="s">
        <v>31</v>
      </c>
      <c r="P41" s="68" t="s">
        <v>31</v>
      </c>
      <c r="Q41" s="68" t="s">
        <v>31</v>
      </c>
      <c r="R41" s="68" t="s">
        <v>31</v>
      </c>
      <c r="S41" s="68" t="s">
        <v>31</v>
      </c>
      <c r="T41" s="273" t="s">
        <v>31</v>
      </c>
      <c r="U41" s="67" t="s">
        <v>54</v>
      </c>
      <c r="V41" s="68" t="s">
        <v>31</v>
      </c>
      <c r="W41" s="68" t="s">
        <v>31</v>
      </c>
      <c r="X41" s="67" t="s">
        <v>31</v>
      </c>
      <c r="Y41" s="67" t="s">
        <v>31</v>
      </c>
      <c r="Z41" s="273"/>
      <c r="AA41" s="9"/>
    </row>
    <row r="42" spans="1:27" ht="76.8" customHeight="1" x14ac:dyDescent="0.3">
      <c r="A42" s="266" t="s">
        <v>49</v>
      </c>
      <c r="B42" s="266" t="s">
        <v>43</v>
      </c>
      <c r="C42" s="556" t="s">
        <v>966</v>
      </c>
      <c r="D42" s="560" t="s">
        <v>285</v>
      </c>
      <c r="E42" s="70"/>
      <c r="F42" s="70" t="s">
        <v>31</v>
      </c>
      <c r="G42" s="70" t="s">
        <v>31</v>
      </c>
      <c r="H42" s="70"/>
      <c r="I42" s="70"/>
      <c r="J42" s="70"/>
      <c r="K42" s="70"/>
      <c r="L42" s="71"/>
      <c r="M42" s="71"/>
      <c r="N42" s="71"/>
      <c r="O42" s="71"/>
      <c r="P42" s="71"/>
      <c r="Q42" s="71"/>
      <c r="R42" s="71"/>
      <c r="S42" s="71"/>
      <c r="T42" s="276"/>
      <c r="U42" s="70"/>
      <c r="V42" s="71"/>
      <c r="W42" s="71"/>
      <c r="X42" s="70"/>
      <c r="Y42" s="70" t="s">
        <v>31</v>
      </c>
      <c r="Z42" s="276"/>
      <c r="AA42" s="9"/>
    </row>
    <row r="43" spans="1:27" ht="69.75" customHeight="1" x14ac:dyDescent="0.3">
      <c r="A43" s="266" t="s">
        <v>50</v>
      </c>
      <c r="B43" s="266" t="s">
        <v>918</v>
      </c>
      <c r="C43" s="556" t="s">
        <v>967</v>
      </c>
      <c r="D43" s="561"/>
      <c r="E43" s="67" t="s">
        <v>31</v>
      </c>
      <c r="F43" s="67" t="s">
        <v>31</v>
      </c>
      <c r="G43" s="67" t="s">
        <v>31</v>
      </c>
      <c r="H43" s="67" t="s">
        <v>31</v>
      </c>
      <c r="I43" s="67" t="s">
        <v>31</v>
      </c>
      <c r="J43" s="67" t="s">
        <v>31</v>
      </c>
      <c r="K43" s="67" t="s">
        <v>31</v>
      </c>
      <c r="L43" s="67" t="s">
        <v>31</v>
      </c>
      <c r="M43" s="67" t="s">
        <v>31</v>
      </c>
      <c r="N43" s="67" t="s">
        <v>31</v>
      </c>
      <c r="O43" s="67" t="s">
        <v>31</v>
      </c>
      <c r="P43" s="67" t="s">
        <v>31</v>
      </c>
      <c r="Q43" s="67" t="s">
        <v>31</v>
      </c>
      <c r="R43" s="67" t="s">
        <v>31</v>
      </c>
      <c r="S43" s="67" t="s">
        <v>31</v>
      </c>
      <c r="T43" s="273" t="s">
        <v>31</v>
      </c>
      <c r="U43" s="67" t="s">
        <v>54</v>
      </c>
      <c r="V43" s="67" t="s">
        <v>31</v>
      </c>
      <c r="W43" s="67" t="s">
        <v>31</v>
      </c>
      <c r="X43" s="67" t="s">
        <v>31</v>
      </c>
      <c r="Y43" s="67" t="s">
        <v>31</v>
      </c>
      <c r="Z43" s="273"/>
      <c r="AA43" s="296"/>
    </row>
    <row r="44" spans="1:27" ht="74.25" customHeight="1" x14ac:dyDescent="0.3">
      <c r="A44" s="266" t="s">
        <v>53</v>
      </c>
      <c r="B44" s="266" t="s">
        <v>43</v>
      </c>
      <c r="C44" s="556" t="s">
        <v>968</v>
      </c>
      <c r="D44" s="558" t="s">
        <v>285</v>
      </c>
      <c r="E44" s="70" t="s">
        <v>31</v>
      </c>
      <c r="F44" s="69" t="s">
        <v>31</v>
      </c>
      <c r="G44" s="69" t="s">
        <v>31</v>
      </c>
      <c r="H44" s="70"/>
      <c r="I44" s="70"/>
      <c r="J44" s="71" t="s">
        <v>31</v>
      </c>
      <c r="K44" s="71" t="s">
        <v>31</v>
      </c>
      <c r="L44" s="69" t="s">
        <v>31</v>
      </c>
      <c r="M44" s="69" t="s">
        <v>31</v>
      </c>
      <c r="N44" s="69" t="s">
        <v>31</v>
      </c>
      <c r="O44" s="69" t="s">
        <v>31</v>
      </c>
      <c r="P44" s="69" t="s">
        <v>31</v>
      </c>
      <c r="Q44" s="69" t="s">
        <v>31</v>
      </c>
      <c r="R44" s="69" t="s">
        <v>31</v>
      </c>
      <c r="S44" s="69" t="s">
        <v>31</v>
      </c>
      <c r="T44" s="291" t="s">
        <v>31</v>
      </c>
      <c r="U44" s="323" t="s">
        <v>54</v>
      </c>
      <c r="V44" s="69" t="s">
        <v>31</v>
      </c>
      <c r="W44" s="69" t="s">
        <v>31</v>
      </c>
      <c r="X44" s="323" t="s">
        <v>31</v>
      </c>
      <c r="Y44" s="70" t="s">
        <v>31</v>
      </c>
      <c r="Z44" s="276"/>
      <c r="AA44" s="9"/>
    </row>
    <row r="45" spans="1:27" ht="79.5" customHeight="1" x14ac:dyDescent="0.3">
      <c r="A45" s="266" t="s">
        <v>235</v>
      </c>
      <c r="B45" s="266" t="s">
        <v>918</v>
      </c>
      <c r="C45" s="556" t="s">
        <v>969</v>
      </c>
      <c r="D45" s="267" t="s">
        <v>1005</v>
      </c>
      <c r="E45" s="67"/>
      <c r="F45" s="68"/>
      <c r="G45" s="68"/>
      <c r="H45" s="67"/>
      <c r="I45" s="67"/>
      <c r="J45" s="68"/>
      <c r="K45" s="68"/>
      <c r="L45" s="68"/>
      <c r="M45" s="68"/>
      <c r="N45" s="68"/>
      <c r="O45" s="68"/>
      <c r="P45" s="68"/>
      <c r="Q45" s="68"/>
      <c r="R45" s="68"/>
      <c r="S45" s="68"/>
      <c r="T45" s="273"/>
      <c r="U45" s="67"/>
      <c r="V45" s="68"/>
      <c r="W45" s="68"/>
      <c r="X45" s="67"/>
      <c r="Y45" s="67"/>
      <c r="Z45" s="273"/>
      <c r="AA45" s="9"/>
    </row>
    <row r="46" spans="1:27" ht="50.1" customHeight="1" x14ac:dyDescent="0.3">
      <c r="A46" s="266" t="s">
        <v>55</v>
      </c>
      <c r="B46" s="266" t="s">
        <v>56</v>
      </c>
      <c r="C46" s="266" t="s">
        <v>335</v>
      </c>
      <c r="D46" s="277"/>
      <c r="E46" s="70" t="s">
        <v>61</v>
      </c>
      <c r="F46" s="71" t="s">
        <v>61</v>
      </c>
      <c r="G46" s="71" t="s">
        <v>62</v>
      </c>
      <c r="H46" s="70" t="s">
        <v>61</v>
      </c>
      <c r="I46" s="70" t="s">
        <v>31</v>
      </c>
      <c r="J46" s="71" t="s">
        <v>61</v>
      </c>
      <c r="K46" s="71" t="s">
        <v>61</v>
      </c>
      <c r="L46" s="71" t="s">
        <v>61</v>
      </c>
      <c r="M46" s="71" t="s">
        <v>61</v>
      </c>
      <c r="N46" s="71" t="s">
        <v>61</v>
      </c>
      <c r="O46" s="71" t="s">
        <v>61</v>
      </c>
      <c r="P46" s="71" t="s">
        <v>31</v>
      </c>
      <c r="Q46" s="71" t="s">
        <v>61</v>
      </c>
      <c r="R46" s="71" t="s">
        <v>61</v>
      </c>
      <c r="S46" s="71" t="s">
        <v>30</v>
      </c>
      <c r="T46" s="276" t="s">
        <v>31</v>
      </c>
      <c r="U46" s="70" t="s">
        <v>54</v>
      </c>
      <c r="V46" s="71" t="s">
        <v>61</v>
      </c>
      <c r="W46" s="71" t="s">
        <v>61</v>
      </c>
      <c r="X46" s="70" t="s">
        <v>61</v>
      </c>
      <c r="Y46" s="70" t="s">
        <v>61</v>
      </c>
      <c r="Z46" s="276"/>
      <c r="AA46" s="9"/>
    </row>
    <row r="47" spans="1:27" ht="70.5" customHeight="1" x14ac:dyDescent="0.3">
      <c r="A47" s="266" t="s">
        <v>237</v>
      </c>
      <c r="B47" s="266" t="s">
        <v>43</v>
      </c>
      <c r="C47" s="556" t="s">
        <v>963</v>
      </c>
      <c r="D47" s="277" t="s">
        <v>285</v>
      </c>
      <c r="E47" s="68" t="s">
        <v>31</v>
      </c>
      <c r="F47" s="68" t="s">
        <v>31</v>
      </c>
      <c r="G47" s="68" t="s">
        <v>31</v>
      </c>
      <c r="H47" s="68" t="s">
        <v>31</v>
      </c>
      <c r="I47" s="68" t="s">
        <v>31</v>
      </c>
      <c r="J47" s="68" t="s">
        <v>31</v>
      </c>
      <c r="K47" s="68" t="s">
        <v>31</v>
      </c>
      <c r="L47" s="68" t="s">
        <v>31</v>
      </c>
      <c r="M47" s="68" t="s">
        <v>31</v>
      </c>
      <c r="N47" s="68" t="s">
        <v>31</v>
      </c>
      <c r="O47" s="68" t="s">
        <v>31</v>
      </c>
      <c r="P47" s="68" t="s">
        <v>31</v>
      </c>
      <c r="Q47" s="68" t="s">
        <v>31</v>
      </c>
      <c r="R47" s="68" t="s">
        <v>31</v>
      </c>
      <c r="S47" s="68" t="s">
        <v>31</v>
      </c>
      <c r="T47" s="273" t="s">
        <v>31</v>
      </c>
      <c r="U47" s="68" t="s">
        <v>54</v>
      </c>
      <c r="V47" s="68" t="s">
        <v>31</v>
      </c>
      <c r="W47" s="68" t="s">
        <v>31</v>
      </c>
      <c r="X47" s="68" t="s">
        <v>31</v>
      </c>
      <c r="Y47" s="68" t="s">
        <v>31</v>
      </c>
      <c r="Z47" s="288"/>
      <c r="AA47" s="9"/>
    </row>
    <row r="48" spans="1:27" ht="72" customHeight="1" x14ac:dyDescent="0.3">
      <c r="A48" s="266" t="s">
        <v>284</v>
      </c>
      <c r="B48" s="266" t="s">
        <v>43</v>
      </c>
      <c r="C48" s="556" t="s">
        <v>970</v>
      </c>
      <c r="D48" s="277" t="s">
        <v>285</v>
      </c>
      <c r="E48" s="70" t="s">
        <v>51</v>
      </c>
      <c r="F48" s="69" t="s">
        <v>51</v>
      </c>
      <c r="G48" s="69" t="s">
        <v>51</v>
      </c>
      <c r="H48" s="323" t="s">
        <v>51</v>
      </c>
      <c r="I48" s="323" t="s">
        <v>51</v>
      </c>
      <c r="J48" s="71" t="s">
        <v>51</v>
      </c>
      <c r="K48" s="71" t="s">
        <v>51</v>
      </c>
      <c r="L48" s="69" t="s">
        <v>51</v>
      </c>
      <c r="M48" s="69" t="s">
        <v>51</v>
      </c>
      <c r="N48" s="69" t="s">
        <v>51</v>
      </c>
      <c r="O48" s="69" t="s">
        <v>51</v>
      </c>
      <c r="P48" s="69" t="s">
        <v>51</v>
      </c>
      <c r="Q48" s="69" t="s">
        <v>51</v>
      </c>
      <c r="R48" s="69" t="s">
        <v>51</v>
      </c>
      <c r="S48" s="69" t="s">
        <v>51</v>
      </c>
      <c r="T48" s="69" t="s">
        <v>51</v>
      </c>
      <c r="U48" s="323" t="s">
        <v>54</v>
      </c>
      <c r="V48" s="69" t="s">
        <v>51</v>
      </c>
      <c r="W48" s="69" t="s">
        <v>51</v>
      </c>
      <c r="X48" s="323" t="s">
        <v>51</v>
      </c>
      <c r="Y48" s="70" t="s">
        <v>51</v>
      </c>
      <c r="Z48" s="276"/>
      <c r="AA48" s="9"/>
    </row>
    <row r="49" spans="1:27" ht="66" customHeight="1" x14ac:dyDescent="0.3">
      <c r="A49" s="266" t="s">
        <v>238</v>
      </c>
      <c r="B49" s="266" t="s">
        <v>43</v>
      </c>
      <c r="C49" s="556" t="s">
        <v>971</v>
      </c>
      <c r="D49" s="277"/>
      <c r="E49" s="68" t="s">
        <v>31</v>
      </c>
      <c r="F49" s="68" t="s">
        <v>31</v>
      </c>
      <c r="G49" s="68" t="s">
        <v>31</v>
      </c>
      <c r="H49" s="68" t="s">
        <v>31</v>
      </c>
      <c r="I49" s="68" t="s">
        <v>31</v>
      </c>
      <c r="J49" s="68" t="s">
        <v>31</v>
      </c>
      <c r="K49" s="68" t="s">
        <v>31</v>
      </c>
      <c r="L49" s="68" t="s">
        <v>31</v>
      </c>
      <c r="M49" s="68" t="s">
        <v>31</v>
      </c>
      <c r="N49" s="68" t="s">
        <v>31</v>
      </c>
      <c r="O49" s="68" t="s">
        <v>31</v>
      </c>
      <c r="P49" s="68" t="s">
        <v>31</v>
      </c>
      <c r="Q49" s="68" t="s">
        <v>31</v>
      </c>
      <c r="R49" s="68" t="s">
        <v>31</v>
      </c>
      <c r="S49" s="68" t="s">
        <v>31</v>
      </c>
      <c r="T49" s="273" t="s">
        <v>31</v>
      </c>
      <c r="U49" s="68" t="s">
        <v>54</v>
      </c>
      <c r="V49" s="68" t="s">
        <v>31</v>
      </c>
      <c r="W49" s="68" t="s">
        <v>31</v>
      </c>
      <c r="X49" s="68" t="s">
        <v>31</v>
      </c>
      <c r="Y49" s="68" t="s">
        <v>31</v>
      </c>
      <c r="Z49" s="288"/>
      <c r="AA49" s="9"/>
    </row>
    <row r="50" spans="1:27" ht="15" x14ac:dyDescent="0.3">
      <c r="A50" s="164"/>
      <c r="B50" s="164"/>
      <c r="C50" s="164"/>
      <c r="D50" s="164"/>
      <c r="E50" s="297"/>
      <c r="F50" s="297"/>
      <c r="G50" s="297"/>
      <c r="H50" s="297"/>
      <c r="I50" s="297"/>
      <c r="J50" s="297"/>
      <c r="K50" s="297"/>
      <c r="L50" s="297"/>
      <c r="M50" s="297"/>
      <c r="N50" s="297"/>
      <c r="O50" s="297"/>
      <c r="P50" s="297"/>
      <c r="Q50" s="297"/>
      <c r="R50" s="297"/>
      <c r="S50" s="298"/>
      <c r="T50" s="298"/>
      <c r="U50" s="297"/>
      <c r="V50" s="297"/>
      <c r="W50" s="297"/>
      <c r="X50" s="297"/>
      <c r="Y50" s="297"/>
      <c r="Z50" s="298"/>
      <c r="AA50" s="9"/>
    </row>
    <row r="51" spans="1:27" ht="15" x14ac:dyDescent="0.3">
      <c r="A51" s="61"/>
      <c r="B51" s="61"/>
      <c r="C51" s="61"/>
      <c r="D51" s="61"/>
      <c r="E51" s="74"/>
      <c r="F51" s="74"/>
      <c r="G51" s="74"/>
      <c r="H51" s="74"/>
      <c r="I51" s="74"/>
      <c r="J51" s="74"/>
      <c r="K51" s="74"/>
      <c r="L51" s="74"/>
      <c r="M51" s="74"/>
      <c r="N51" s="74"/>
      <c r="O51" s="74"/>
      <c r="P51" s="74"/>
      <c r="Q51" s="74"/>
      <c r="R51" s="74"/>
      <c r="S51" s="74"/>
      <c r="T51" s="74"/>
      <c r="U51" s="74"/>
      <c r="V51" s="74"/>
      <c r="W51" s="74"/>
      <c r="X51" s="74"/>
      <c r="Y51" s="74"/>
      <c r="Z51" s="74"/>
      <c r="AA51" s="9"/>
    </row>
    <row r="52" spans="1:27" ht="15" x14ac:dyDescent="0.3">
      <c r="A52" s="61"/>
      <c r="B52" s="61"/>
      <c r="C52" s="61"/>
      <c r="D52" s="61"/>
      <c r="E52" s="74"/>
      <c r="F52" s="74"/>
      <c r="G52" s="74"/>
      <c r="H52" s="74"/>
      <c r="I52" s="74"/>
      <c r="J52" s="74"/>
      <c r="K52" s="74"/>
      <c r="L52" s="74"/>
      <c r="M52" s="74"/>
      <c r="N52" s="74"/>
      <c r="O52" s="74"/>
      <c r="P52" s="74"/>
      <c r="Q52" s="74"/>
      <c r="R52" s="74"/>
      <c r="S52" s="74"/>
      <c r="T52" s="74"/>
      <c r="U52" s="74"/>
      <c r="V52" s="74"/>
      <c r="W52" s="74"/>
      <c r="X52" s="74"/>
      <c r="Y52" s="74"/>
      <c r="Z52" s="74"/>
      <c r="AA52" s="9"/>
    </row>
  </sheetData>
  <mergeCells count="1">
    <mergeCell ref="B3:C3"/>
  </mergeCells>
  <phoneticPr fontId="50" type="noConversion"/>
  <pageMargins left="0.70866141732283472" right="0.70866141732283472" top="0.43307086614173229" bottom="0.78740157480314965" header="0.31496062992125984" footer="0.31496062992125984"/>
  <pageSetup paperSize="8" scale="40" fitToWidth="0" fitToHeight="0" orientation="landscape" r:id="rId1"/>
  <headerFooter>
    <oddHeader>&amp;CAusschreibung Reinigung Gemeinde Oberhaching 2026</oddHeader>
    <oddFooter>&amp;C&amp;P</oddFooter>
  </headerFooter>
  <rowBreaks count="1" manualBreakCount="1">
    <brk id="32" max="2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80A42-8AE1-4C14-BDE4-A9852A8C5C51}">
  <sheetPr>
    <tabColor theme="7" tint="0.59999389629810485"/>
    <pageSetUpPr fitToPage="1"/>
  </sheetPr>
  <dimension ref="A1:E48"/>
  <sheetViews>
    <sheetView zoomScale="80" zoomScaleNormal="80" zoomScalePageLayoutView="70" workbookViewId="0">
      <selection activeCell="A2" sqref="A2"/>
    </sheetView>
  </sheetViews>
  <sheetFormatPr baseColWidth="10" defaultColWidth="11.44140625" defaultRowHeight="12.6" outlineLevelCol="1" x14ac:dyDescent="0.3"/>
  <cols>
    <col min="1" max="1" width="7.109375" style="432" customWidth="1" outlineLevel="1"/>
    <col min="2" max="2" width="33" style="432" customWidth="1"/>
    <col min="3" max="3" width="58.109375" style="432" customWidth="1"/>
    <col min="4" max="4" width="45.88671875" style="432" customWidth="1"/>
    <col min="5" max="5" width="72.6640625" style="432" customWidth="1"/>
    <col min="6" max="16384" width="11.44140625" style="432"/>
  </cols>
  <sheetData>
    <row r="1" spans="1:5" s="431" customFormat="1" ht="36" customHeight="1" x14ac:dyDescent="0.3">
      <c r="A1" s="631" t="s">
        <v>998</v>
      </c>
      <c r="B1" s="631"/>
      <c r="C1" s="631"/>
      <c r="D1" s="631"/>
      <c r="E1" s="631"/>
    </row>
    <row r="2" spans="1:5" ht="6.6" customHeight="1" x14ac:dyDescent="0.3"/>
    <row r="3" spans="1:5" ht="28.5" customHeight="1" x14ac:dyDescent="0.3">
      <c r="B3" s="433" t="s">
        <v>773</v>
      </c>
      <c r="D3" s="632" t="s">
        <v>930</v>
      </c>
      <c r="E3" s="632"/>
    </row>
    <row r="4" spans="1:5" ht="6" customHeight="1" thickBot="1" x14ac:dyDescent="0.35"/>
    <row r="5" spans="1:5" s="435" customFormat="1" ht="18.75" customHeight="1" thickBot="1" x14ac:dyDescent="0.35">
      <c r="A5" s="434" t="s">
        <v>774</v>
      </c>
      <c r="B5" s="434" t="s">
        <v>13</v>
      </c>
      <c r="C5" s="434" t="s">
        <v>775</v>
      </c>
      <c r="D5" s="434" t="s">
        <v>776</v>
      </c>
      <c r="E5" s="434" t="s">
        <v>777</v>
      </c>
    </row>
    <row r="6" spans="1:5" ht="18.75" customHeight="1" x14ac:dyDescent="0.3">
      <c r="A6" s="436">
        <v>1</v>
      </c>
      <c r="B6" s="437" t="s">
        <v>778</v>
      </c>
      <c r="C6" s="438" t="s">
        <v>779</v>
      </c>
      <c r="D6" s="438" t="s">
        <v>780</v>
      </c>
      <c r="E6" s="633" t="s">
        <v>781</v>
      </c>
    </row>
    <row r="7" spans="1:5" ht="18.75" customHeight="1" x14ac:dyDescent="0.3">
      <c r="A7" s="436">
        <v>2</v>
      </c>
      <c r="B7" s="437" t="s">
        <v>782</v>
      </c>
      <c r="C7" s="438" t="s">
        <v>783</v>
      </c>
      <c r="D7" s="438" t="s">
        <v>780</v>
      </c>
      <c r="E7" s="634"/>
    </row>
    <row r="8" spans="1:5" ht="18.75" customHeight="1" x14ac:dyDescent="0.3">
      <c r="A8" s="436">
        <v>3</v>
      </c>
      <c r="B8" s="437" t="s">
        <v>784</v>
      </c>
      <c r="C8" s="438" t="s">
        <v>785</v>
      </c>
      <c r="D8" s="438" t="s">
        <v>780</v>
      </c>
      <c r="E8" s="634"/>
    </row>
    <row r="9" spans="1:5" ht="18.75" customHeight="1" x14ac:dyDescent="0.3">
      <c r="A9" s="436">
        <v>4</v>
      </c>
      <c r="B9" s="437" t="s">
        <v>786</v>
      </c>
      <c r="C9" s="438" t="s">
        <v>787</v>
      </c>
      <c r="D9" s="438" t="s">
        <v>788</v>
      </c>
      <c r="E9" s="634"/>
    </row>
    <row r="10" spans="1:5" ht="18.75" customHeight="1" x14ac:dyDescent="0.3">
      <c r="A10" s="436">
        <v>5</v>
      </c>
      <c r="B10" s="437" t="s">
        <v>789</v>
      </c>
      <c r="C10" s="438" t="s">
        <v>790</v>
      </c>
      <c r="D10" s="438" t="s">
        <v>791</v>
      </c>
      <c r="E10" s="634"/>
    </row>
    <row r="11" spans="1:5" ht="18.75" customHeight="1" x14ac:dyDescent="0.3">
      <c r="A11" s="436">
        <v>6</v>
      </c>
      <c r="B11" s="437" t="s">
        <v>792</v>
      </c>
      <c r="C11" s="438" t="s">
        <v>793</v>
      </c>
      <c r="D11" s="438" t="s">
        <v>780</v>
      </c>
      <c r="E11" s="634"/>
    </row>
    <row r="12" spans="1:5" ht="18.75" customHeight="1" x14ac:dyDescent="0.3">
      <c r="A12" s="436">
        <v>7</v>
      </c>
      <c r="B12" s="437" t="s">
        <v>794</v>
      </c>
      <c r="C12" s="438" t="s">
        <v>795</v>
      </c>
      <c r="D12" s="438" t="s">
        <v>780</v>
      </c>
      <c r="E12" s="634"/>
    </row>
    <row r="13" spans="1:5" ht="18.75" customHeight="1" x14ac:dyDescent="0.3">
      <c r="A13" s="436">
        <v>8</v>
      </c>
      <c r="B13" s="437" t="s">
        <v>796</v>
      </c>
      <c r="C13" s="438" t="s">
        <v>797</v>
      </c>
      <c r="D13" s="438" t="s">
        <v>780</v>
      </c>
      <c r="E13" s="634"/>
    </row>
    <row r="14" spans="1:5" ht="18.75" customHeight="1" x14ac:dyDescent="0.3">
      <c r="A14" s="436">
        <v>9</v>
      </c>
      <c r="B14" s="437" t="s">
        <v>798</v>
      </c>
      <c r="C14" s="438" t="s">
        <v>797</v>
      </c>
      <c r="D14" s="438" t="s">
        <v>780</v>
      </c>
      <c r="E14" s="635"/>
    </row>
    <row r="15" spans="1:5" ht="15" x14ac:dyDescent="0.3">
      <c r="A15" s="436">
        <v>10</v>
      </c>
      <c r="B15" s="437" t="s">
        <v>799</v>
      </c>
      <c r="C15" s="439" t="s">
        <v>800</v>
      </c>
      <c r="D15" s="438" t="s">
        <v>801</v>
      </c>
      <c r="E15" s="440" t="s">
        <v>802</v>
      </c>
    </row>
    <row r="16" spans="1:5" ht="15" x14ac:dyDescent="0.3">
      <c r="A16" s="436">
        <v>11</v>
      </c>
      <c r="B16" s="437" t="s">
        <v>55</v>
      </c>
      <c r="C16" s="439" t="s">
        <v>800</v>
      </c>
      <c r="D16" s="438" t="s">
        <v>56</v>
      </c>
      <c r="E16" s="440"/>
    </row>
    <row r="17" spans="1:5" ht="18.75" customHeight="1" x14ac:dyDescent="0.3">
      <c r="A17" s="436">
        <v>12</v>
      </c>
      <c r="B17" s="437" t="s">
        <v>803</v>
      </c>
      <c r="C17" s="438" t="s">
        <v>804</v>
      </c>
      <c r="D17" s="438" t="s">
        <v>805</v>
      </c>
      <c r="E17" s="440" t="s">
        <v>806</v>
      </c>
    </row>
    <row r="18" spans="1:5" s="445" customFormat="1" ht="7.5" customHeight="1" x14ac:dyDescent="0.3">
      <c r="A18" s="441"/>
      <c r="B18" s="442"/>
      <c r="C18" s="443"/>
      <c r="D18" s="443"/>
      <c r="E18" s="444"/>
    </row>
    <row r="19" spans="1:5" ht="15.6" x14ac:dyDescent="0.3">
      <c r="A19" s="446"/>
      <c r="B19" s="433" t="s">
        <v>807</v>
      </c>
      <c r="C19" s="447"/>
      <c r="D19" s="447"/>
      <c r="E19" s="447"/>
    </row>
    <row r="20" spans="1:5" s="435" customFormat="1" ht="7.5" customHeight="1" thickBot="1" x14ac:dyDescent="0.35">
      <c r="A20" s="448"/>
      <c r="B20" s="449"/>
      <c r="C20" s="449"/>
      <c r="D20" s="449"/>
      <c r="E20" s="449"/>
    </row>
    <row r="21" spans="1:5" ht="16.2" thickBot="1" x14ac:dyDescent="0.35">
      <c r="A21" s="434" t="s">
        <v>774</v>
      </c>
      <c r="B21" s="434" t="s">
        <v>13</v>
      </c>
      <c r="C21" s="434" t="s">
        <v>775</v>
      </c>
      <c r="D21" s="434" t="s">
        <v>776</v>
      </c>
      <c r="E21" s="434" t="s">
        <v>777</v>
      </c>
    </row>
    <row r="22" spans="1:5" ht="38.4" customHeight="1" x14ac:dyDescent="0.3">
      <c r="A22" s="450">
        <v>13</v>
      </c>
      <c r="B22" s="437" t="s">
        <v>808</v>
      </c>
      <c r="C22" s="438" t="s">
        <v>809</v>
      </c>
      <c r="D22" s="438" t="s">
        <v>810</v>
      </c>
      <c r="E22" s="538" t="s">
        <v>920</v>
      </c>
    </row>
    <row r="23" spans="1:5" ht="79.8" customHeight="1" x14ac:dyDescent="0.3">
      <c r="A23" s="436">
        <v>14</v>
      </c>
      <c r="B23" s="451" t="s">
        <v>811</v>
      </c>
      <c r="C23" s="452" t="s">
        <v>812</v>
      </c>
      <c r="D23" s="453" t="s">
        <v>813</v>
      </c>
      <c r="E23" s="539" t="s">
        <v>921</v>
      </c>
    </row>
    <row r="24" spans="1:5" ht="37.200000000000003" customHeight="1" x14ac:dyDescent="0.3">
      <c r="A24" s="436">
        <v>15</v>
      </c>
      <c r="B24" s="437" t="s">
        <v>814</v>
      </c>
      <c r="C24" s="454" t="s">
        <v>812</v>
      </c>
      <c r="D24" s="438" t="s">
        <v>815</v>
      </c>
      <c r="E24" s="538" t="s">
        <v>920</v>
      </c>
    </row>
    <row r="25" spans="1:5" ht="39.6" customHeight="1" x14ac:dyDescent="0.3">
      <c r="A25" s="436">
        <v>16</v>
      </c>
      <c r="B25" s="437" t="s">
        <v>816</v>
      </c>
      <c r="C25" s="438" t="s">
        <v>817</v>
      </c>
      <c r="D25" s="438" t="s">
        <v>815</v>
      </c>
      <c r="E25" s="538" t="s">
        <v>920</v>
      </c>
    </row>
    <row r="26" spans="1:5" ht="64.8" customHeight="1" x14ac:dyDescent="0.3">
      <c r="A26" s="436">
        <v>17</v>
      </c>
      <c r="B26" s="437" t="s">
        <v>818</v>
      </c>
      <c r="C26" s="438" t="s">
        <v>819</v>
      </c>
      <c r="D26" s="438" t="s">
        <v>820</v>
      </c>
      <c r="E26" s="538" t="s">
        <v>922</v>
      </c>
    </row>
    <row r="27" spans="1:5" ht="30.75" customHeight="1" x14ac:dyDescent="0.3">
      <c r="B27" s="433" t="s">
        <v>821</v>
      </c>
      <c r="D27" s="432" t="s">
        <v>0</v>
      </c>
    </row>
    <row r="28" spans="1:5" ht="8.25" customHeight="1" x14ac:dyDescent="0.3"/>
    <row r="29" spans="1:5" ht="77.400000000000006" customHeight="1" x14ac:dyDescent="0.3">
      <c r="B29" s="636" t="s">
        <v>993</v>
      </c>
      <c r="C29" s="636"/>
      <c r="D29" s="636"/>
      <c r="E29" s="636"/>
    </row>
    <row r="30" spans="1:5" ht="8.25" customHeight="1" x14ac:dyDescent="0.3">
      <c r="A30" s="455"/>
      <c r="B30" s="455"/>
      <c r="C30" s="455"/>
      <c r="D30" s="455"/>
      <c r="E30" s="455"/>
    </row>
    <row r="31" spans="1:5" ht="31.5" customHeight="1" x14ac:dyDescent="0.3">
      <c r="B31" s="433" t="s">
        <v>822</v>
      </c>
      <c r="C31" s="456"/>
      <c r="D31" s="456"/>
      <c r="E31" s="456"/>
    </row>
    <row r="32" spans="1:5" ht="42" customHeight="1" x14ac:dyDescent="0.3">
      <c r="B32" s="636" t="s">
        <v>823</v>
      </c>
      <c r="C32" s="636"/>
      <c r="D32" s="636"/>
      <c r="E32" s="636"/>
    </row>
    <row r="33" spans="1:5" ht="37.5" customHeight="1" x14ac:dyDescent="0.3">
      <c r="B33" s="630" t="s">
        <v>824</v>
      </c>
      <c r="C33" s="630"/>
      <c r="D33" s="630"/>
      <c r="E33" s="630"/>
    </row>
    <row r="34" spans="1:5" ht="22.5" customHeight="1" x14ac:dyDescent="0.3">
      <c r="B34" s="630" t="s">
        <v>825</v>
      </c>
      <c r="C34" s="630"/>
      <c r="D34" s="630"/>
      <c r="E34" s="630"/>
    </row>
    <row r="35" spans="1:5" ht="25.5" customHeight="1" x14ac:dyDescent="0.3">
      <c r="B35" s="630" t="s">
        <v>826</v>
      </c>
      <c r="C35" s="630"/>
      <c r="D35" s="630"/>
      <c r="E35" s="630"/>
    </row>
    <row r="36" spans="1:5" ht="22.5" customHeight="1" x14ac:dyDescent="0.3">
      <c r="B36" s="630" t="s">
        <v>827</v>
      </c>
      <c r="C36" s="630"/>
      <c r="D36" s="630"/>
      <c r="E36" s="630"/>
    </row>
    <row r="37" spans="1:5" ht="26.25" customHeight="1" x14ac:dyDescent="0.3">
      <c r="B37" s="630" t="s">
        <v>828</v>
      </c>
      <c r="C37" s="630"/>
      <c r="D37" s="630"/>
      <c r="E37" s="630"/>
    </row>
    <row r="38" spans="1:5" ht="21" customHeight="1" x14ac:dyDescent="0.3">
      <c r="B38" s="630" t="s">
        <v>829</v>
      </c>
      <c r="C38" s="630"/>
      <c r="D38" s="630"/>
      <c r="E38" s="630"/>
    </row>
    <row r="39" spans="1:5" ht="13.2" x14ac:dyDescent="0.3">
      <c r="B39" s="457"/>
    </row>
    <row r="40" spans="1:5" ht="15" x14ac:dyDescent="0.3">
      <c r="A40" s="458"/>
      <c r="B40" s="458"/>
      <c r="C40" s="459"/>
      <c r="D40" s="459"/>
      <c r="E40" s="459"/>
    </row>
    <row r="44" spans="1:5" ht="15.6" x14ac:dyDescent="0.3">
      <c r="B44" s="460"/>
    </row>
    <row r="45" spans="1:5" ht="15.6" x14ac:dyDescent="0.3">
      <c r="B45" s="460"/>
    </row>
    <row r="46" spans="1:5" ht="15.6" x14ac:dyDescent="0.3">
      <c r="B46" s="460"/>
    </row>
    <row r="47" spans="1:5" ht="15.6" x14ac:dyDescent="0.3">
      <c r="B47" s="460"/>
    </row>
    <row r="48" spans="1:5" ht="15.6" x14ac:dyDescent="0.3">
      <c r="B48" s="460"/>
    </row>
  </sheetData>
  <sheetProtection selectLockedCells="1"/>
  <mergeCells count="11">
    <mergeCell ref="B34:E34"/>
    <mergeCell ref="B35:E35"/>
    <mergeCell ref="B36:E36"/>
    <mergeCell ref="B37:E37"/>
    <mergeCell ref="B38:E38"/>
    <mergeCell ref="B33:E33"/>
    <mergeCell ref="A1:E1"/>
    <mergeCell ref="D3:E3"/>
    <mergeCell ref="E6:E14"/>
    <mergeCell ref="B29:E29"/>
    <mergeCell ref="B32:E32"/>
  </mergeCells>
  <pageMargins left="0.39370078740157483" right="0.39370078740157483" top="1.3779527559055118" bottom="0.98425196850393704" header="0.51181102362204722" footer="0.51181102362204722"/>
  <pageSetup paperSize="9" scale="64" fitToHeight="0" orientation="landscape" r:id="rId1"/>
  <headerFooter alignWithMargins="0">
    <oddHeader>&amp;CAusschreibung Reinigung Gemeinde Oberhaching 2026</oddHeader>
  </headerFooter>
  <rowBreaks count="1" manualBreakCount="1">
    <brk id="2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7">
    <tabColor theme="3" tint="0.39997558519241921"/>
  </sheetPr>
  <dimension ref="A1:I39"/>
  <sheetViews>
    <sheetView zoomScale="70" zoomScaleNormal="70" zoomScaleSheetLayoutView="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2.6640625" style="9" customWidth="1"/>
    <col min="5" max="5" width="15.33203125" style="9" customWidth="1"/>
    <col min="6" max="6" width="18.109375" style="9" customWidth="1"/>
    <col min="7" max="7" width="16.44140625" style="9" customWidth="1"/>
    <col min="8" max="9" width="16.109375" style="9" customWidth="1"/>
    <col min="10" max="16384" width="11.44140625" style="9"/>
  </cols>
  <sheetData>
    <row r="1" spans="1:9" ht="36.75" customHeight="1" x14ac:dyDescent="0.25">
      <c r="A1" s="75" t="s">
        <v>3</v>
      </c>
      <c r="B1" s="449">
        <f>Basisdaten!E5</f>
        <v>0</v>
      </c>
      <c r="C1" s="329"/>
      <c r="D1" s="75"/>
      <c r="E1" s="300" t="s">
        <v>1</v>
      </c>
      <c r="F1" s="299">
        <f>Basisdaten!E3</f>
        <v>0</v>
      </c>
    </row>
    <row r="2" spans="1:9" ht="20.399999999999999" customHeight="1" x14ac:dyDescent="0.25"/>
    <row r="3" spans="1:9" ht="24.75" customHeight="1" x14ac:dyDescent="0.25">
      <c r="A3" s="631" t="s">
        <v>999</v>
      </c>
      <c r="B3" s="631"/>
      <c r="C3" s="631"/>
      <c r="D3" s="631"/>
      <c r="E3" s="631"/>
      <c r="F3" s="631"/>
      <c r="G3" s="631"/>
      <c r="H3" s="631"/>
      <c r="I3" s="568"/>
    </row>
    <row r="4" spans="1:9" ht="39" customHeight="1" thickBot="1" x14ac:dyDescent="0.3">
      <c r="A4" s="637" t="s">
        <v>95</v>
      </c>
      <c r="B4" s="637"/>
      <c r="C4" s="637"/>
      <c r="D4" s="637"/>
      <c r="E4" s="637"/>
      <c r="F4" s="637"/>
    </row>
    <row r="5" spans="1:9" ht="45" customHeight="1" thickBot="1" x14ac:dyDescent="0.3">
      <c r="A5" s="76" t="s">
        <v>57</v>
      </c>
      <c r="B5" s="76" t="s">
        <v>59</v>
      </c>
      <c r="C5" s="76" t="s">
        <v>239</v>
      </c>
      <c r="D5" s="76" t="s">
        <v>58</v>
      </c>
      <c r="E5" s="76" t="s">
        <v>59</v>
      </c>
      <c r="F5" s="76" t="s">
        <v>60</v>
      </c>
      <c r="G5" s="426" t="s">
        <v>740</v>
      </c>
      <c r="H5" s="426" t="s">
        <v>741</v>
      </c>
      <c r="I5" s="569" t="s">
        <v>988</v>
      </c>
    </row>
    <row r="6" spans="1:9" ht="42" customHeight="1" thickBot="1" x14ac:dyDescent="0.3">
      <c r="A6" s="325" t="s">
        <v>186</v>
      </c>
      <c r="B6" s="44" t="s">
        <v>62</v>
      </c>
      <c r="C6" s="44" t="str">
        <f t="shared" ref="C6" si="0">CONCATENATE(A6,"-",B6)</f>
        <v>A1-W3</v>
      </c>
      <c r="D6" s="77" t="s">
        <v>855</v>
      </c>
      <c r="E6" s="44" t="str">
        <f t="shared" ref="E6" si="1">B6</f>
        <v>W3</v>
      </c>
      <c r="F6" s="78"/>
      <c r="G6" s="427">
        <v>150</v>
      </c>
      <c r="H6" s="579">
        <v>230</v>
      </c>
      <c r="I6" s="581">
        <f>SUMIFS('Kalk UHR GS Deisenhofen'!$P$8:$P$251,'Kalk UHR GS Deisenhofen'!$Q$8:$Q$251,1,'Kalk UHR GS Deisenhofen'!$F$8:$F$251,C6)</f>
        <v>0</v>
      </c>
    </row>
    <row r="7" spans="1:9" ht="42" customHeight="1" thickBot="1" x14ac:dyDescent="0.3">
      <c r="A7" s="325" t="s">
        <v>187</v>
      </c>
      <c r="B7" s="44" t="s">
        <v>62</v>
      </c>
      <c r="C7" s="44" t="str">
        <f t="shared" ref="C7" si="2">CONCATENATE(A7,"-",B7)</f>
        <v>B1-W3</v>
      </c>
      <c r="D7" s="77" t="s">
        <v>174</v>
      </c>
      <c r="E7" s="44" t="str">
        <f t="shared" ref="E7" si="3">B7</f>
        <v>W3</v>
      </c>
      <c r="F7" s="78"/>
      <c r="G7" s="427">
        <v>150</v>
      </c>
      <c r="H7" s="579">
        <v>230</v>
      </c>
      <c r="I7" s="581">
        <f>SUMIFS('Kalk UHR GS Deisenhofen'!$P$8:$P$251,'Kalk UHR GS Deisenhofen'!$Q$8:$Q$251,1,'Kalk UHR GS Deisenhofen'!$F$8:$F$251,C7)</f>
        <v>0</v>
      </c>
    </row>
    <row r="8" spans="1:9" ht="42" customHeight="1" thickBot="1" x14ac:dyDescent="0.3">
      <c r="A8" s="325" t="s">
        <v>187</v>
      </c>
      <c r="B8" s="44" t="s">
        <v>30</v>
      </c>
      <c r="C8" s="44" t="str">
        <f t="shared" ref="C8:C9" si="4">CONCATENATE(A8,"-",B8)</f>
        <v>B1-W1</v>
      </c>
      <c r="D8" s="77" t="s">
        <v>174</v>
      </c>
      <c r="E8" s="44" t="str">
        <f t="shared" ref="E8:E9" si="5">B8</f>
        <v>W1</v>
      </c>
      <c r="F8" s="78"/>
      <c r="G8" s="427">
        <v>160</v>
      </c>
      <c r="H8" s="579">
        <v>220</v>
      </c>
      <c r="I8" s="581">
        <f>SUMIFS('Kalk UHR GS Deisenhofen'!$P$8:$P$251,'Kalk UHR GS Deisenhofen'!$Q$8:$Q$251,1,'Kalk UHR GS Deisenhofen'!$F$8:$F$251,C8)</f>
        <v>0</v>
      </c>
    </row>
    <row r="9" spans="1:9" ht="42" customHeight="1" thickBot="1" x14ac:dyDescent="0.3">
      <c r="A9" s="325" t="s">
        <v>187</v>
      </c>
      <c r="B9" s="44" t="s">
        <v>31</v>
      </c>
      <c r="C9" s="44" t="str">
        <f t="shared" si="4"/>
        <v>B1-M1</v>
      </c>
      <c r="D9" s="77" t="s">
        <v>174</v>
      </c>
      <c r="E9" s="44" t="str">
        <f t="shared" si="5"/>
        <v>M1</v>
      </c>
      <c r="F9" s="78"/>
      <c r="G9" s="427">
        <v>160</v>
      </c>
      <c r="H9" s="579">
        <v>200</v>
      </c>
      <c r="I9" s="581">
        <f>SUMIFS('Kalk UHR GS Deisenhofen'!$P$8:$P$251,'Kalk UHR GS Deisenhofen'!$Q$8:$Q$251,1,'Kalk UHR GS Deisenhofen'!$F$8:$F$251,C9)</f>
        <v>0</v>
      </c>
    </row>
    <row r="10" spans="1:9" ht="42" customHeight="1" thickBot="1" x14ac:dyDescent="0.3">
      <c r="A10" s="325" t="s">
        <v>188</v>
      </c>
      <c r="B10" s="44" t="s">
        <v>62</v>
      </c>
      <c r="C10" s="44" t="str">
        <f>CONCATENATE(A10,"-",B10)</f>
        <v>B2-W3</v>
      </c>
      <c r="D10" s="77" t="s">
        <v>686</v>
      </c>
      <c r="E10" s="44" t="str">
        <f>B10</f>
        <v>W3</v>
      </c>
      <c r="F10" s="78"/>
      <c r="G10" s="427">
        <v>190</v>
      </c>
      <c r="H10" s="579">
        <v>230</v>
      </c>
      <c r="I10" s="581">
        <f>SUMIFS('Kalk UHR GS Deisenhofen'!$P$8:$P$251,'Kalk UHR GS Deisenhofen'!$Q$8:$Q$251,1,'Kalk UHR GS Deisenhofen'!$F$8:$F$251,C10)</f>
        <v>0</v>
      </c>
    </row>
    <row r="11" spans="1:9" ht="42" customHeight="1" thickBot="1" x14ac:dyDescent="0.3">
      <c r="A11" s="325" t="s">
        <v>189</v>
      </c>
      <c r="B11" s="44" t="s">
        <v>67</v>
      </c>
      <c r="C11" s="44" t="str">
        <f t="shared" ref="C11" si="6">CONCATENATE(A11,"-",B11)</f>
        <v>D1-W6</v>
      </c>
      <c r="D11" s="77" t="s">
        <v>175</v>
      </c>
      <c r="E11" s="44" t="str">
        <f t="shared" ref="E11" si="7">B11</f>
        <v>W6</v>
      </c>
      <c r="F11" s="78"/>
      <c r="G11" s="427">
        <v>60</v>
      </c>
      <c r="H11" s="579">
        <v>100</v>
      </c>
      <c r="I11" s="581">
        <f>SUMIFS('Kalk UHR GS Deisenhofen'!$P$8:$P$251,'Kalk UHR GS Deisenhofen'!$Q$8:$Q$251,1,'Kalk UHR GS Deisenhofen'!$F$8:$F$251,C11)</f>
        <v>0</v>
      </c>
    </row>
    <row r="12" spans="1:9" ht="42" customHeight="1" thickBot="1" x14ac:dyDescent="0.3">
      <c r="A12" s="325" t="s">
        <v>190</v>
      </c>
      <c r="B12" s="44" t="s">
        <v>61</v>
      </c>
      <c r="C12" s="44" t="str">
        <f t="shared" ref="C12:C38" si="8">CONCATENATE(A12,"-",B12)</f>
        <v>E1-W5</v>
      </c>
      <c r="D12" s="77" t="s">
        <v>743</v>
      </c>
      <c r="E12" s="44" t="str">
        <f t="shared" ref="E12:E38" si="9">B12</f>
        <v>W5</v>
      </c>
      <c r="F12" s="78"/>
      <c r="G12" s="427">
        <v>320</v>
      </c>
      <c r="H12" s="579">
        <v>420</v>
      </c>
      <c r="I12" s="581">
        <f>SUMIFS('Kalk UHR GS Deisenhofen'!$P$8:$P$251,'Kalk UHR GS Deisenhofen'!$Q$8:$Q$251,1,'Kalk UHR GS Deisenhofen'!$F$8:$F$251,C12)</f>
        <v>0</v>
      </c>
    </row>
    <row r="13" spans="1:9" ht="42" customHeight="1" thickBot="1" x14ac:dyDescent="0.3">
      <c r="A13" s="325" t="s">
        <v>744</v>
      </c>
      <c r="B13" s="44" t="s">
        <v>61</v>
      </c>
      <c r="C13" s="44" t="str">
        <f t="shared" ref="C13" si="10">CONCATENATE(A13,"-",B13)</f>
        <v>E2-W5</v>
      </c>
      <c r="D13" s="77" t="s">
        <v>742</v>
      </c>
      <c r="E13" s="44" t="str">
        <f t="shared" ref="E13" si="11">B13</f>
        <v>W5</v>
      </c>
      <c r="F13" s="78"/>
      <c r="G13" s="427">
        <v>180</v>
      </c>
      <c r="H13" s="579">
        <v>250</v>
      </c>
      <c r="I13" s="581">
        <f>SUMIFS('Kalk UHR GS Deisenhofen'!$P$8:$P$251,'Kalk UHR GS Deisenhofen'!$Q$8:$Q$251,1,'Kalk UHR GS Deisenhofen'!$F$8:$F$251,C13)</f>
        <v>0</v>
      </c>
    </row>
    <row r="14" spans="1:9" ht="42" customHeight="1" thickBot="1" x14ac:dyDescent="0.3">
      <c r="A14" s="325" t="s">
        <v>191</v>
      </c>
      <c r="B14" s="44" t="s">
        <v>67</v>
      </c>
      <c r="C14" s="44" t="str">
        <f t="shared" ref="C14" si="12">CONCATENATE(A14,"-",B14)</f>
        <v>F1-W6</v>
      </c>
      <c r="D14" s="77" t="s">
        <v>176</v>
      </c>
      <c r="E14" s="44" t="str">
        <f t="shared" ref="E14" si="13">B14</f>
        <v>W6</v>
      </c>
      <c r="F14" s="78"/>
      <c r="G14" s="427">
        <v>265</v>
      </c>
      <c r="H14" s="579">
        <v>420</v>
      </c>
      <c r="I14" s="581">
        <f>SUMIFS('Kalk UHR GS Deisenhofen'!$P$8:$P$251,'Kalk UHR GS Deisenhofen'!$Q$8:$Q$251,1,'Kalk UHR GS Deisenhofen'!$F$8:$F$251,C14)</f>
        <v>0</v>
      </c>
    </row>
    <row r="15" spans="1:9" ht="42" customHeight="1" thickBot="1" x14ac:dyDescent="0.3">
      <c r="A15" s="325" t="s">
        <v>191</v>
      </c>
      <c r="B15" s="44" t="s">
        <v>61</v>
      </c>
      <c r="C15" s="44" t="str">
        <f t="shared" si="8"/>
        <v>F1-W5</v>
      </c>
      <c r="D15" s="77" t="s">
        <v>176</v>
      </c>
      <c r="E15" s="44" t="str">
        <f t="shared" si="9"/>
        <v>W5</v>
      </c>
      <c r="F15" s="78"/>
      <c r="G15" s="427">
        <v>280</v>
      </c>
      <c r="H15" s="579">
        <v>420</v>
      </c>
      <c r="I15" s="581">
        <f>SUMIFS('Kalk UHR GS Deisenhofen'!$P$8:$P$251,'Kalk UHR GS Deisenhofen'!$Q$8:$Q$251,1,'Kalk UHR GS Deisenhofen'!$F$8:$F$251,C15)</f>
        <v>0</v>
      </c>
    </row>
    <row r="16" spans="1:9" ht="42" customHeight="1" thickBot="1" x14ac:dyDescent="0.3">
      <c r="A16" s="326" t="s">
        <v>191</v>
      </c>
      <c r="B16" s="44" t="s">
        <v>30</v>
      </c>
      <c r="C16" s="44" t="str">
        <f>CONCATENATE(A16,"-",B16)</f>
        <v>F1-W1</v>
      </c>
      <c r="D16" s="77" t="s">
        <v>176</v>
      </c>
      <c r="E16" s="44" t="str">
        <f>B16</f>
        <v>W1</v>
      </c>
      <c r="F16" s="78"/>
      <c r="G16" s="427">
        <v>250</v>
      </c>
      <c r="H16" s="579">
        <v>320</v>
      </c>
      <c r="I16" s="581">
        <f>SUMIFS('Kalk UHR GS Deisenhofen'!$P$8:$P$251,'Kalk UHR GS Deisenhofen'!$Q$8:$Q$251,1,'Kalk UHR GS Deisenhofen'!$F$8:$F$251,C16)</f>
        <v>0</v>
      </c>
    </row>
    <row r="17" spans="1:9" ht="42" customHeight="1" thickBot="1" x14ac:dyDescent="0.3">
      <c r="A17" s="326" t="s">
        <v>191</v>
      </c>
      <c r="B17" s="44" t="s">
        <v>31</v>
      </c>
      <c r="C17" s="44" t="str">
        <f>CONCATENATE(A17,"-",B17)</f>
        <v>F1-M1</v>
      </c>
      <c r="D17" s="77" t="s">
        <v>176</v>
      </c>
      <c r="E17" s="44" t="str">
        <f>B17</f>
        <v>M1</v>
      </c>
      <c r="F17" s="78"/>
      <c r="G17" s="427">
        <v>250</v>
      </c>
      <c r="H17" s="579">
        <v>350</v>
      </c>
      <c r="I17" s="581">
        <f>SUMIFS('Kalk UHR GS Deisenhofen'!$P$8:$P$251,'Kalk UHR GS Deisenhofen'!$Q$8:$Q$251,1,'Kalk UHR GS Deisenhofen'!$F$8:$F$251,C17)</f>
        <v>0</v>
      </c>
    </row>
    <row r="18" spans="1:9" ht="42" customHeight="1" thickBot="1" x14ac:dyDescent="0.3">
      <c r="A18" s="325" t="s">
        <v>192</v>
      </c>
      <c r="B18" s="44" t="s">
        <v>62</v>
      </c>
      <c r="C18" s="44" t="str">
        <f t="shared" si="8"/>
        <v>F2-W3</v>
      </c>
      <c r="D18" s="77" t="s">
        <v>177</v>
      </c>
      <c r="E18" s="44" t="str">
        <f t="shared" si="9"/>
        <v>W3</v>
      </c>
      <c r="F18" s="78"/>
      <c r="G18" s="427">
        <v>25</v>
      </c>
      <c r="H18" s="579">
        <v>60</v>
      </c>
      <c r="I18" s="581">
        <f>SUMIFS('Kalk UHR GS Deisenhofen'!$P$8:$P$251,'Kalk UHR GS Deisenhofen'!$Q$8:$Q$251,1,'Kalk UHR GS Deisenhofen'!$F$8:$F$251,C18)</f>
        <v>0</v>
      </c>
    </row>
    <row r="19" spans="1:9" ht="42" customHeight="1" thickBot="1" x14ac:dyDescent="0.3">
      <c r="A19" s="325" t="s">
        <v>193</v>
      </c>
      <c r="B19" s="44" t="s">
        <v>67</v>
      </c>
      <c r="C19" s="44" t="str">
        <f t="shared" ref="C19" si="14">CONCATENATE(A19,"-",B19)</f>
        <v>F3-W6</v>
      </c>
      <c r="D19" s="77" t="s">
        <v>178</v>
      </c>
      <c r="E19" s="44" t="str">
        <f t="shared" ref="E19" si="15">B19</f>
        <v>W6</v>
      </c>
      <c r="F19" s="78"/>
      <c r="G19" s="427">
        <v>180</v>
      </c>
      <c r="H19" s="579">
        <v>220</v>
      </c>
      <c r="I19" s="581">
        <f>SUMIFS('Kalk UHR GS Deisenhofen'!$P$8:$P$251,'Kalk UHR GS Deisenhofen'!$Q$8:$Q$251,1,'Kalk UHR GS Deisenhofen'!$F$8:$F$251,C19)</f>
        <v>0</v>
      </c>
    </row>
    <row r="20" spans="1:9" ht="42" customHeight="1" thickBot="1" x14ac:dyDescent="0.3">
      <c r="A20" s="325" t="s">
        <v>193</v>
      </c>
      <c r="B20" s="44" t="s">
        <v>61</v>
      </c>
      <c r="C20" s="44" t="str">
        <f t="shared" si="8"/>
        <v>F3-W5</v>
      </c>
      <c r="D20" s="77" t="s">
        <v>178</v>
      </c>
      <c r="E20" s="44" t="str">
        <f t="shared" si="9"/>
        <v>W5</v>
      </c>
      <c r="F20" s="78"/>
      <c r="G20" s="427">
        <v>140</v>
      </c>
      <c r="H20" s="579">
        <v>210</v>
      </c>
      <c r="I20" s="581">
        <f>SUMIFS('Kalk UHR GS Deisenhofen'!$P$8:$P$251,'Kalk UHR GS Deisenhofen'!$Q$8:$Q$251,1,'Kalk UHR GS Deisenhofen'!$F$8:$F$251,C20)</f>
        <v>0</v>
      </c>
    </row>
    <row r="21" spans="1:9" ht="42" customHeight="1" thickBot="1" x14ac:dyDescent="0.3">
      <c r="A21" s="325" t="s">
        <v>193</v>
      </c>
      <c r="B21" s="44" t="s">
        <v>31</v>
      </c>
      <c r="C21" s="44" t="str">
        <f t="shared" ref="C21" si="16">CONCATENATE(A21,"-",B21)</f>
        <v>F3-M1</v>
      </c>
      <c r="D21" s="77" t="s">
        <v>178</v>
      </c>
      <c r="E21" s="44" t="str">
        <f t="shared" ref="E21" si="17">B21</f>
        <v>M1</v>
      </c>
      <c r="F21" s="78"/>
      <c r="G21" s="427">
        <v>140</v>
      </c>
      <c r="H21" s="579">
        <v>180</v>
      </c>
      <c r="I21" s="581">
        <f>SUMIFS('Kalk UHR GS Deisenhofen'!$P$8:$P$251,'Kalk UHR GS Deisenhofen'!$Q$8:$Q$251,1,'Kalk UHR GS Deisenhofen'!$F$8:$F$251,C21)</f>
        <v>0</v>
      </c>
    </row>
    <row r="22" spans="1:9" ht="42" customHeight="1" thickBot="1" x14ac:dyDescent="0.3">
      <c r="A22" s="325" t="s">
        <v>681</v>
      </c>
      <c r="B22" s="44" t="s">
        <v>62</v>
      </c>
      <c r="C22" s="44" t="str">
        <f t="shared" ref="C22" si="18">CONCATENATE(A22,"-",B22)</f>
        <v>F4-W3</v>
      </c>
      <c r="D22" s="77" t="s">
        <v>456</v>
      </c>
      <c r="E22" s="44" t="str">
        <f t="shared" ref="E22" si="19">B22</f>
        <v>W3</v>
      </c>
      <c r="F22" s="78"/>
      <c r="G22" s="427">
        <v>190</v>
      </c>
      <c r="H22" s="579">
        <v>260</v>
      </c>
      <c r="I22" s="581">
        <f>SUMIFS('Kalk UHR GS Deisenhofen'!$P$8:$P$251,'Kalk UHR GS Deisenhofen'!$Q$8:$Q$251,1,'Kalk UHR GS Deisenhofen'!$F$8:$F$251,C22)</f>
        <v>0</v>
      </c>
    </row>
    <row r="23" spans="1:9" ht="42" customHeight="1" thickBot="1" x14ac:dyDescent="0.3">
      <c r="A23" s="325" t="s">
        <v>194</v>
      </c>
      <c r="B23" s="44" t="s">
        <v>62</v>
      </c>
      <c r="C23" s="44" t="str">
        <f t="shared" ref="C23:C24" si="20">CONCATENATE(A23,"-",B23)</f>
        <v>G1-W3</v>
      </c>
      <c r="D23" s="77" t="s">
        <v>179</v>
      </c>
      <c r="E23" s="44" t="str">
        <f t="shared" ref="E23:E24" si="21">B23</f>
        <v>W3</v>
      </c>
      <c r="F23" s="78"/>
      <c r="G23" s="427">
        <v>140</v>
      </c>
      <c r="H23" s="579">
        <v>200</v>
      </c>
      <c r="I23" s="581">
        <f>SUMIFS('Kalk UHR GS Deisenhofen'!$P$8:$P$251,'Kalk UHR GS Deisenhofen'!$Q$8:$Q$251,1,'Kalk UHR GS Deisenhofen'!$F$8:$F$251,C23)</f>
        <v>0</v>
      </c>
    </row>
    <row r="24" spans="1:9" ht="42" customHeight="1" thickBot="1" x14ac:dyDescent="0.3">
      <c r="A24" s="325" t="s">
        <v>195</v>
      </c>
      <c r="B24" s="44" t="s">
        <v>67</v>
      </c>
      <c r="C24" s="44" t="str">
        <f t="shared" si="20"/>
        <v>H1-W6</v>
      </c>
      <c r="D24" s="77" t="s">
        <v>180</v>
      </c>
      <c r="E24" s="44" t="str">
        <f t="shared" si="21"/>
        <v>W6</v>
      </c>
      <c r="F24" s="78"/>
      <c r="G24" s="427">
        <v>180</v>
      </c>
      <c r="H24" s="579">
        <v>230</v>
      </c>
      <c r="I24" s="581">
        <f>SUMIFS('Kalk UHR GS Deisenhofen'!$P$8:$P$251,'Kalk UHR GS Deisenhofen'!$Q$8:$Q$251,1,'Kalk UHR GS Deisenhofen'!$F$8:$F$251,C24)</f>
        <v>0</v>
      </c>
    </row>
    <row r="25" spans="1:9" ht="42" customHeight="1" thickBot="1" x14ac:dyDescent="0.3">
      <c r="A25" s="325" t="s">
        <v>195</v>
      </c>
      <c r="B25" s="44" t="s">
        <v>62</v>
      </c>
      <c r="C25" s="44" t="str">
        <f t="shared" ref="C25" si="22">CONCATENATE(A25,"-",B25)</f>
        <v>H1-W3</v>
      </c>
      <c r="D25" s="77" t="s">
        <v>180</v>
      </c>
      <c r="E25" s="44" t="str">
        <f t="shared" ref="E25" si="23">B25</f>
        <v>W3</v>
      </c>
      <c r="F25" s="78"/>
      <c r="G25" s="427">
        <v>160</v>
      </c>
      <c r="H25" s="579">
        <v>220</v>
      </c>
      <c r="I25" s="581">
        <f>SUMIFS('Kalk UHR GS Deisenhofen'!$P$8:$P$251,'Kalk UHR GS Deisenhofen'!$Q$8:$Q$251,1,'Kalk UHR GS Deisenhofen'!$F$8:$F$251,C25)</f>
        <v>0</v>
      </c>
    </row>
    <row r="26" spans="1:9" ht="42" customHeight="1" thickBot="1" x14ac:dyDescent="0.3">
      <c r="A26" s="325" t="s">
        <v>196</v>
      </c>
      <c r="B26" s="44" t="s">
        <v>31</v>
      </c>
      <c r="C26" s="44" t="str">
        <f>CONCATENATE(A26,"-",B26)</f>
        <v>L1-M1</v>
      </c>
      <c r="D26" s="77" t="s">
        <v>165</v>
      </c>
      <c r="E26" s="44" t="str">
        <f>B26</f>
        <v>M1</v>
      </c>
      <c r="F26" s="78"/>
      <c r="G26" s="427">
        <v>100</v>
      </c>
      <c r="H26" s="579">
        <v>200</v>
      </c>
      <c r="I26" s="581">
        <f>SUMIFS('Kalk UHR GS Deisenhofen'!$P$8:$P$251,'Kalk UHR GS Deisenhofen'!$Q$8:$Q$251,1,'Kalk UHR GS Deisenhofen'!$F$8:$F$251,C26)</f>
        <v>0</v>
      </c>
    </row>
    <row r="27" spans="1:9" ht="42" customHeight="1" thickBot="1" x14ac:dyDescent="0.3">
      <c r="A27" s="325" t="s">
        <v>196</v>
      </c>
      <c r="B27" s="44" t="s">
        <v>52</v>
      </c>
      <c r="C27" s="44" t="str">
        <f t="shared" ref="C27" si="24">CONCATENATE(A27,"-",B27)</f>
        <v>L1-J4</v>
      </c>
      <c r="D27" s="77" t="s">
        <v>165</v>
      </c>
      <c r="E27" s="44" t="str">
        <f t="shared" ref="E27" si="25">B27</f>
        <v>J4</v>
      </c>
      <c r="F27" s="78"/>
      <c r="G27" s="427">
        <v>200</v>
      </c>
      <c r="H27" s="579">
        <v>320</v>
      </c>
      <c r="I27" s="581">
        <f>SUMIFS('Kalk UHR GS Deisenhofen'!$P$8:$P$251,'Kalk UHR GS Deisenhofen'!$Q$8:$Q$251,1,'Kalk UHR GS Deisenhofen'!$F$8:$F$251,C27)</f>
        <v>0</v>
      </c>
    </row>
    <row r="28" spans="1:9" ht="42" customHeight="1" thickBot="1" x14ac:dyDescent="0.3">
      <c r="A28" s="325" t="s">
        <v>196</v>
      </c>
      <c r="B28" s="44" t="s">
        <v>51</v>
      </c>
      <c r="C28" s="44" t="str">
        <f t="shared" ref="C28" si="26">CONCATENATE(A28,"-",B28)</f>
        <v>L1-J2</v>
      </c>
      <c r="D28" s="77" t="s">
        <v>165</v>
      </c>
      <c r="E28" s="44" t="str">
        <f t="shared" ref="E28" si="27">B28</f>
        <v>J2</v>
      </c>
      <c r="F28" s="78"/>
      <c r="G28" s="427">
        <v>200</v>
      </c>
      <c r="H28" s="579">
        <v>320</v>
      </c>
      <c r="I28" s="581">
        <f>SUMIFS('Kalk UHR GS Deisenhofen'!$P$8:$P$251,'Kalk UHR GS Deisenhofen'!$Q$8:$Q$251,1,'Kalk UHR GS Deisenhofen'!$F$8:$F$251,C28)</f>
        <v>0</v>
      </c>
    </row>
    <row r="29" spans="1:9" ht="42" customHeight="1" thickBot="1" x14ac:dyDescent="0.3">
      <c r="A29" s="325" t="s">
        <v>196</v>
      </c>
      <c r="B29" s="44" t="s">
        <v>54</v>
      </c>
      <c r="C29" s="44" t="str">
        <f t="shared" ref="C29" si="28">CONCATENATE(A29,"-",B29)</f>
        <v>L1-J1</v>
      </c>
      <c r="D29" s="77" t="s">
        <v>165</v>
      </c>
      <c r="E29" s="44" t="str">
        <f t="shared" ref="E29" si="29">B29</f>
        <v>J1</v>
      </c>
      <c r="F29" s="78"/>
      <c r="G29" s="427">
        <v>90</v>
      </c>
      <c r="H29" s="579">
        <v>290</v>
      </c>
      <c r="I29" s="581">
        <f>SUMIFS('Kalk UHR GS Deisenhofen'!$P$8:$P$251,'Kalk UHR GS Deisenhofen'!$Q$8:$Q$251,1,'Kalk UHR GS Deisenhofen'!$F$8:$F$251,C29)</f>
        <v>0</v>
      </c>
    </row>
    <row r="30" spans="1:9" ht="42" customHeight="1" thickBot="1" x14ac:dyDescent="0.3">
      <c r="A30" s="325" t="s">
        <v>197</v>
      </c>
      <c r="B30" s="44" t="s">
        <v>54</v>
      </c>
      <c r="C30" s="44" t="str">
        <f t="shared" si="8"/>
        <v>L3-J1</v>
      </c>
      <c r="D30" s="77" t="s">
        <v>166</v>
      </c>
      <c r="E30" s="44" t="str">
        <f t="shared" si="9"/>
        <v>J1</v>
      </c>
      <c r="F30" s="78"/>
      <c r="G30" s="427">
        <v>100</v>
      </c>
      <c r="H30" s="579">
        <v>200</v>
      </c>
      <c r="I30" s="581">
        <f>SUMIFS('Kalk UHR GS Deisenhofen'!$P$8:$P$251,'Kalk UHR GS Deisenhofen'!$Q$8:$Q$251,1,'Kalk UHR GS Deisenhofen'!$F$8:$F$251,C30)</f>
        <v>0</v>
      </c>
    </row>
    <row r="31" spans="1:9" ht="42" customHeight="1" thickBot="1" x14ac:dyDescent="0.3">
      <c r="A31" s="325" t="s">
        <v>198</v>
      </c>
      <c r="B31" s="44" t="s">
        <v>67</v>
      </c>
      <c r="C31" s="44" t="str">
        <f t="shared" ref="C31" si="30">CONCATENATE(A31,"-",B31)</f>
        <v>N1-W6</v>
      </c>
      <c r="D31" s="77" t="s">
        <v>183</v>
      </c>
      <c r="E31" s="44" t="str">
        <f t="shared" ref="E31" si="31">B31</f>
        <v>W6</v>
      </c>
      <c r="F31" s="78"/>
      <c r="G31" s="427">
        <v>400</v>
      </c>
      <c r="H31" s="579">
        <v>800</v>
      </c>
      <c r="I31" s="581">
        <f>SUMIFS('Kalk UHR GS Deisenhofen'!$P$8:$P$251,'Kalk UHR GS Deisenhofen'!$Q$8:$Q$251,1,'Kalk UHR GS Deisenhofen'!$F$8:$F$251,C31)</f>
        <v>0</v>
      </c>
    </row>
    <row r="32" spans="1:9" ht="42" customHeight="1" thickBot="1" x14ac:dyDescent="0.3">
      <c r="A32" s="325" t="s">
        <v>200</v>
      </c>
      <c r="B32" s="44" t="s">
        <v>67</v>
      </c>
      <c r="C32" s="44" t="str">
        <f t="shared" ref="C32" si="32">CONCATENATE(A32,"-",B32)</f>
        <v>S1-W6</v>
      </c>
      <c r="D32" s="77" t="s">
        <v>184</v>
      </c>
      <c r="E32" s="44" t="str">
        <f t="shared" ref="E32" si="33">B32</f>
        <v>W6</v>
      </c>
      <c r="F32" s="78"/>
      <c r="G32" s="427">
        <v>40</v>
      </c>
      <c r="H32" s="579">
        <v>80</v>
      </c>
      <c r="I32" s="581">
        <f>SUMIFS('Kalk UHR GS Deisenhofen'!$P$8:$P$251,'Kalk UHR GS Deisenhofen'!$Q$8:$Q$251,1,'Kalk UHR GS Deisenhofen'!$F$8:$F$251,C32)</f>
        <v>0</v>
      </c>
    </row>
    <row r="33" spans="1:9" ht="42" customHeight="1" thickBot="1" x14ac:dyDescent="0.3">
      <c r="A33" s="325" t="s">
        <v>200</v>
      </c>
      <c r="B33" s="44" t="s">
        <v>61</v>
      </c>
      <c r="C33" s="44" t="str">
        <f t="shared" si="8"/>
        <v>S1-W5</v>
      </c>
      <c r="D33" s="77" t="s">
        <v>184</v>
      </c>
      <c r="E33" s="44" t="str">
        <f t="shared" si="9"/>
        <v>W5</v>
      </c>
      <c r="F33" s="78"/>
      <c r="G33" s="427">
        <v>40</v>
      </c>
      <c r="H33" s="579">
        <v>80</v>
      </c>
      <c r="I33" s="581">
        <f>SUMIFS('Kalk UHR GS Deisenhofen'!$P$8:$P$251,'Kalk UHR GS Deisenhofen'!$Q$8:$Q$251,1,'Kalk UHR GS Deisenhofen'!$F$8:$F$251,C33)</f>
        <v>0</v>
      </c>
    </row>
    <row r="34" spans="1:9" ht="42" customHeight="1" thickBot="1" x14ac:dyDescent="0.3">
      <c r="A34" s="325" t="s">
        <v>201</v>
      </c>
      <c r="B34" s="44" t="s">
        <v>62</v>
      </c>
      <c r="C34" s="44" t="str">
        <f t="shared" ref="C34" si="34">CONCATENATE(A34,"-",B34)</f>
        <v>U1-W3</v>
      </c>
      <c r="D34" s="77" t="s">
        <v>746</v>
      </c>
      <c r="E34" s="44" t="str">
        <f t="shared" ref="E34" si="35">B34</f>
        <v>W3</v>
      </c>
      <c r="F34" s="78"/>
      <c r="G34" s="427">
        <v>180</v>
      </c>
      <c r="H34" s="579">
        <v>230</v>
      </c>
      <c r="I34" s="581">
        <f>SUMIFS('Kalk UHR GS Deisenhofen'!$P$8:$P$251,'Kalk UHR GS Deisenhofen'!$Q$8:$Q$251,1,'Kalk UHR GS Deisenhofen'!$F$8:$F$251,C34)</f>
        <v>0</v>
      </c>
    </row>
    <row r="35" spans="1:9" ht="42" customHeight="1" thickBot="1" x14ac:dyDescent="0.3">
      <c r="A35" s="325" t="s">
        <v>202</v>
      </c>
      <c r="B35" s="44" t="s">
        <v>62</v>
      </c>
      <c r="C35" s="44" t="str">
        <f t="shared" ref="C35:C37" si="36">CONCATENATE(A35,"-",B35)</f>
        <v>U2-W3</v>
      </c>
      <c r="D35" s="77" t="s">
        <v>269</v>
      </c>
      <c r="E35" s="44" t="str">
        <f t="shared" ref="E35:E37" si="37">B35</f>
        <v>W3</v>
      </c>
      <c r="F35" s="78"/>
      <c r="G35" s="427">
        <v>175</v>
      </c>
      <c r="H35" s="579">
        <v>220</v>
      </c>
      <c r="I35" s="581">
        <f>SUMIFS('Kalk UHR GS Deisenhofen'!$P$8:$P$251,'Kalk UHR GS Deisenhofen'!$Q$8:$Q$251,1,'Kalk UHR GS Deisenhofen'!$F$8:$F$251,C35)</f>
        <v>0</v>
      </c>
    </row>
    <row r="36" spans="1:9" ht="42" customHeight="1" thickBot="1" x14ac:dyDescent="0.3">
      <c r="A36" s="325" t="s">
        <v>203</v>
      </c>
      <c r="B36" s="44" t="s">
        <v>30</v>
      </c>
      <c r="C36" s="44" t="str">
        <f t="shared" ref="C36" si="38">CONCATENATE(A36,"-",B36)</f>
        <v>U3-W1</v>
      </c>
      <c r="D36" s="77" t="s">
        <v>679</v>
      </c>
      <c r="E36" s="44" t="str">
        <f t="shared" ref="E36" si="39">B36</f>
        <v>W1</v>
      </c>
      <c r="F36" s="78"/>
      <c r="G36" s="427">
        <v>170</v>
      </c>
      <c r="H36" s="579">
        <v>230</v>
      </c>
      <c r="I36" s="581">
        <f>SUMIFS('Kalk UHR GS Deisenhofen'!$P$8:$P$251,'Kalk UHR GS Deisenhofen'!$Q$8:$Q$251,1,'Kalk UHR GS Deisenhofen'!$F$8:$F$251,C36)</f>
        <v>0</v>
      </c>
    </row>
    <row r="37" spans="1:9" ht="42" customHeight="1" thickBot="1" x14ac:dyDescent="0.3">
      <c r="A37" s="325" t="s">
        <v>885</v>
      </c>
      <c r="B37" s="44" t="s">
        <v>67</v>
      </c>
      <c r="C37" s="44" t="str">
        <f t="shared" si="36"/>
        <v>V1-W6</v>
      </c>
      <c r="D37" s="77" t="s">
        <v>886</v>
      </c>
      <c r="E37" s="44" t="str">
        <f t="shared" si="37"/>
        <v>W6</v>
      </c>
      <c r="F37" s="78"/>
      <c r="G37" s="427">
        <v>200</v>
      </c>
      <c r="H37" s="579">
        <v>500</v>
      </c>
      <c r="I37" s="581">
        <f>SUMIFS('Kalk UHR GS Deisenhofen'!$P$8:$P$251,'Kalk UHR GS Deisenhofen'!$Q$8:$Q$251,1,'Kalk UHR GS Deisenhofen'!$F$8:$F$251,C37)</f>
        <v>0</v>
      </c>
    </row>
    <row r="38" spans="1:9" ht="42" customHeight="1" x14ac:dyDescent="0.25">
      <c r="A38" s="325" t="s">
        <v>16</v>
      </c>
      <c r="B38" s="44" t="s">
        <v>68</v>
      </c>
      <c r="C38" s="44" t="str">
        <f t="shared" si="8"/>
        <v>Z-kR</v>
      </c>
      <c r="D38" s="77" t="s">
        <v>247</v>
      </c>
      <c r="E38" s="44" t="str">
        <f t="shared" si="9"/>
        <v>kR</v>
      </c>
      <c r="F38" s="324"/>
      <c r="G38" s="324"/>
      <c r="H38" s="580"/>
      <c r="I38" s="581">
        <f>SUMIFS('Kalk UHR GS Deisenhofen'!$P$8:$P$251,'Kalk UHR GS Deisenhofen'!$Q$8:$Q$251,1,'Kalk UHR GS Deisenhofen'!$F$8:$F$251,C38)</f>
        <v>0</v>
      </c>
    </row>
    <row r="39" spans="1:9" ht="30.6" customHeight="1" x14ac:dyDescent="0.25">
      <c r="H39" s="582" t="s">
        <v>1002</v>
      </c>
      <c r="I39" s="583">
        <f>SUM(I6:I38)</f>
        <v>0</v>
      </c>
    </row>
  </sheetData>
  <sheetProtection selectLockedCells="1"/>
  <mergeCells count="2">
    <mergeCell ref="A4:F4"/>
    <mergeCell ref="A3:H3"/>
  </mergeCells>
  <phoneticPr fontId="50" type="noConversion"/>
  <pageMargins left="0.70866141732283472" right="0.70866141732283472" top="0.78740157480314965" bottom="0.78740157480314965" header="0.31496062992125984" footer="0.31496062992125984"/>
  <pageSetup paperSize="9" scale="45" orientation="portrait" horizontalDpi="4294967293" verticalDpi="300" r:id="rId1"/>
  <headerFooter>
    <oddHeader>&amp;CAusschreibung Reinigung Gemeinde Oberhaching 2026</oddHeader>
    <oddFooter>Seite &amp;P von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8">
    <tabColor rgb="FF00B050"/>
  </sheetPr>
  <dimension ref="A1:I28"/>
  <sheetViews>
    <sheetView zoomScale="70" zoomScaleNormal="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2.77734375" style="9" customWidth="1"/>
    <col min="5" max="5" width="15.33203125" style="9" customWidth="1"/>
    <col min="6" max="6" width="17.33203125" style="9" customWidth="1"/>
    <col min="7" max="7" width="15.77734375" style="9" customWidth="1"/>
    <col min="8" max="8" width="16.109375" style="9" customWidth="1"/>
    <col min="9" max="9" width="17.44140625" style="9" customWidth="1"/>
    <col min="10" max="10" width="4.6640625" style="9" customWidth="1"/>
    <col min="11" max="16384" width="11.44140625" style="9"/>
  </cols>
  <sheetData>
    <row r="1" spans="1:9" ht="36.75" customHeight="1" x14ac:dyDescent="0.25">
      <c r="A1" s="75" t="s">
        <v>3</v>
      </c>
      <c r="B1" s="449">
        <f>Basisdaten!E5</f>
        <v>0</v>
      </c>
      <c r="C1" s="329"/>
      <c r="D1" s="75"/>
      <c r="E1" s="300" t="s">
        <v>1</v>
      </c>
      <c r="F1" s="299">
        <f>Basisdaten!E3</f>
        <v>0</v>
      </c>
    </row>
    <row r="2" spans="1:9" ht="19.2" customHeight="1" x14ac:dyDescent="0.25"/>
    <row r="3" spans="1:9" ht="50.4" customHeight="1" x14ac:dyDescent="0.25">
      <c r="A3" s="631" t="s">
        <v>1000</v>
      </c>
      <c r="B3" s="631"/>
      <c r="C3" s="631"/>
      <c r="D3" s="631"/>
      <c r="E3" s="631"/>
      <c r="F3" s="631"/>
      <c r="G3" s="631"/>
      <c r="H3" s="631"/>
      <c r="I3" s="568"/>
    </row>
    <row r="4" spans="1:9" ht="39" customHeight="1" thickBot="1" x14ac:dyDescent="0.3">
      <c r="A4" s="637" t="s">
        <v>95</v>
      </c>
      <c r="B4" s="637"/>
      <c r="C4" s="637"/>
      <c r="D4" s="637"/>
      <c r="E4" s="637"/>
      <c r="F4" s="637"/>
    </row>
    <row r="5" spans="1:9" ht="45" customHeight="1" thickBot="1" x14ac:dyDescent="0.3">
      <c r="A5" s="76" t="s">
        <v>57</v>
      </c>
      <c r="B5" s="76" t="s">
        <v>59</v>
      </c>
      <c r="C5" s="76" t="s">
        <v>239</v>
      </c>
      <c r="D5" s="76" t="s">
        <v>58</v>
      </c>
      <c r="E5" s="76" t="s">
        <v>59</v>
      </c>
      <c r="F5" s="76" t="s">
        <v>60</v>
      </c>
      <c r="G5" s="426" t="s">
        <v>740</v>
      </c>
      <c r="H5" s="426" t="s">
        <v>741</v>
      </c>
      <c r="I5" s="569" t="s">
        <v>988</v>
      </c>
    </row>
    <row r="6" spans="1:9" ht="42" customHeight="1" thickBot="1" x14ac:dyDescent="0.3">
      <c r="A6" s="325" t="s">
        <v>186</v>
      </c>
      <c r="B6" s="44" t="s">
        <v>61</v>
      </c>
      <c r="C6" s="44" t="str">
        <f t="shared" ref="C6:C27" si="0">CONCATENATE(A6,"-",B6)</f>
        <v>A1-W5</v>
      </c>
      <c r="D6" s="77" t="s">
        <v>748</v>
      </c>
      <c r="E6" s="44" t="str">
        <f t="shared" ref="E6:E27" si="1">B6</f>
        <v>W5</v>
      </c>
      <c r="F6" s="78"/>
      <c r="G6" s="427">
        <v>180</v>
      </c>
      <c r="H6" s="579">
        <v>230</v>
      </c>
      <c r="I6" s="581">
        <f>SUMIFS('Kalk UHR GS Deisenhofen'!$P$8:$P$251,'Kalk UHR GS Deisenhofen'!$Q$8:$Q$251,2,'Kalk UHR GS Deisenhofen'!$F$8:$F$251,'Leistungswerte UHR Kigas'!C6)+SUMIF('Kalk UHR KiGa Am Rain'!$F$8:$F$76,'Leistungswerte UHR Kigas'!C6,'Kalk UHR KiGa Am Rain'!$P$8:$P$76)</f>
        <v>0</v>
      </c>
    </row>
    <row r="7" spans="1:9" ht="42" customHeight="1" thickBot="1" x14ac:dyDescent="0.3">
      <c r="A7" s="325" t="s">
        <v>187</v>
      </c>
      <c r="B7" s="44" t="s">
        <v>61</v>
      </c>
      <c r="C7" s="44" t="str">
        <f>CONCATENATE(A7,"-",B7)</f>
        <v>B1-W5</v>
      </c>
      <c r="D7" s="77" t="s">
        <v>949</v>
      </c>
      <c r="E7" s="44" t="str">
        <f>B7</f>
        <v>W5</v>
      </c>
      <c r="F7" s="78"/>
      <c r="G7" s="427">
        <v>180</v>
      </c>
      <c r="H7" s="579">
        <v>240</v>
      </c>
      <c r="I7" s="581">
        <f>SUMIFS('Kalk UHR GS Deisenhofen'!$P$8:$P$251,'Kalk UHR GS Deisenhofen'!$Q$8:$Q$251,2,'Kalk UHR GS Deisenhofen'!$F$8:$F$251,'Leistungswerte UHR Kigas'!C7)+SUMIF('Kalk UHR KiGa Am Rain'!$F$8:$F$76,'Leistungswerte UHR Kigas'!C7,'Kalk UHR KiGa Am Rain'!$P$8:$P$76)</f>
        <v>0</v>
      </c>
    </row>
    <row r="8" spans="1:9" ht="42" customHeight="1" thickBot="1" x14ac:dyDescent="0.3">
      <c r="A8" s="325" t="s">
        <v>187</v>
      </c>
      <c r="B8" s="44" t="s">
        <v>62</v>
      </c>
      <c r="C8" s="44" t="str">
        <f>CONCATENATE(A8,"-",B8)</f>
        <v>B1-W3</v>
      </c>
      <c r="D8" s="77" t="s">
        <v>949</v>
      </c>
      <c r="E8" s="44" t="str">
        <f>B8</f>
        <v>W3</v>
      </c>
      <c r="F8" s="78"/>
      <c r="G8" s="427">
        <v>180</v>
      </c>
      <c r="H8" s="579">
        <v>230</v>
      </c>
      <c r="I8" s="581">
        <f>SUMIFS('Kalk UHR GS Deisenhofen'!$P$8:$P$251,'Kalk UHR GS Deisenhofen'!$Q$8:$Q$251,2,'Kalk UHR GS Deisenhofen'!$F$8:$F$251,'Leistungswerte UHR Kigas'!C8)+SUMIF('Kalk UHR KiGa Am Rain'!$F$8:$F$76,'Leistungswerte UHR Kigas'!C8,'Kalk UHR KiGa Am Rain'!$P$8:$P$76)</f>
        <v>0</v>
      </c>
    </row>
    <row r="9" spans="1:9" ht="42" customHeight="1" thickBot="1" x14ac:dyDescent="0.3">
      <c r="A9" s="325" t="s">
        <v>189</v>
      </c>
      <c r="B9" s="44" t="s">
        <v>61</v>
      </c>
      <c r="C9" s="44" t="str">
        <f t="shared" ref="C9" si="2">CONCATENATE(A9,"-",B9)</f>
        <v>D1-W5</v>
      </c>
      <c r="D9" s="77" t="s">
        <v>931</v>
      </c>
      <c r="E9" s="44" t="str">
        <f t="shared" ref="E9" si="3">B9</f>
        <v>W5</v>
      </c>
      <c r="F9" s="78"/>
      <c r="G9" s="427">
        <v>40</v>
      </c>
      <c r="H9" s="579">
        <v>70</v>
      </c>
      <c r="I9" s="581">
        <f>SUMIFS('Kalk UHR GS Deisenhofen'!$P$8:$P$251,'Kalk UHR GS Deisenhofen'!$Q$8:$Q$251,2,'Kalk UHR GS Deisenhofen'!$F$8:$F$251,'Leistungswerte UHR Kigas'!C9)+SUMIF('Kalk UHR KiGa Am Rain'!$F$8:$F$76,'Leistungswerte UHR Kigas'!C9,'Kalk UHR KiGa Am Rain'!$P$8:$P$76)</f>
        <v>0</v>
      </c>
    </row>
    <row r="10" spans="1:9" ht="42" customHeight="1" thickBot="1" x14ac:dyDescent="0.3">
      <c r="A10" s="325" t="s">
        <v>189</v>
      </c>
      <c r="B10" s="44" t="s">
        <v>31</v>
      </c>
      <c r="C10" s="44" t="str">
        <f t="shared" ref="C10" si="4">CONCATENATE(A10,"-",B10)</f>
        <v>D1-M1</v>
      </c>
      <c r="D10" s="77" t="s">
        <v>931</v>
      </c>
      <c r="E10" s="44" t="str">
        <f t="shared" ref="E10" si="5">B10</f>
        <v>M1</v>
      </c>
      <c r="F10" s="78"/>
      <c r="G10" s="427">
        <v>40</v>
      </c>
      <c r="H10" s="579">
        <v>70</v>
      </c>
      <c r="I10" s="581">
        <f>SUMIFS('Kalk UHR GS Deisenhofen'!$P$8:$P$251,'Kalk UHR GS Deisenhofen'!$Q$8:$Q$251,2,'Kalk UHR GS Deisenhofen'!$F$8:$F$251,'Leistungswerte UHR Kigas'!C10)+SUMIF('Kalk UHR KiGa Am Rain'!$F$8:$F$76,'Leistungswerte UHR Kigas'!C10,'Kalk UHR KiGa Am Rain'!$P$8:$P$76)</f>
        <v>0</v>
      </c>
    </row>
    <row r="11" spans="1:9" ht="42" customHeight="1" thickBot="1" x14ac:dyDescent="0.3">
      <c r="A11" s="325" t="s">
        <v>190</v>
      </c>
      <c r="B11" s="44" t="s">
        <v>61</v>
      </c>
      <c r="C11" s="44" t="str">
        <f t="shared" si="0"/>
        <v>E1-W5</v>
      </c>
      <c r="D11" s="77" t="s">
        <v>743</v>
      </c>
      <c r="E11" s="44" t="str">
        <f t="shared" si="1"/>
        <v>W5</v>
      </c>
      <c r="F11" s="78"/>
      <c r="G11" s="427">
        <v>280</v>
      </c>
      <c r="H11" s="579">
        <v>360</v>
      </c>
      <c r="I11" s="581">
        <f>SUMIFS('Kalk UHR GS Deisenhofen'!$P$8:$P$251,'Kalk UHR GS Deisenhofen'!$Q$8:$Q$251,2,'Kalk UHR GS Deisenhofen'!$F$8:$F$251,'Leistungswerte UHR Kigas'!C11)+SUMIF('Kalk UHR KiGa Am Rain'!$F$8:$F$76,'Leistungswerte UHR Kigas'!C11,'Kalk UHR KiGa Am Rain'!$P$8:$P$76)</f>
        <v>0</v>
      </c>
    </row>
    <row r="12" spans="1:9" ht="42" customHeight="1" thickBot="1" x14ac:dyDescent="0.3">
      <c r="A12" s="325" t="s">
        <v>744</v>
      </c>
      <c r="B12" s="44" t="s">
        <v>61</v>
      </c>
      <c r="C12" s="44" t="str">
        <f t="shared" ref="C12" si="6">CONCATENATE(A12,"-",B12)</f>
        <v>E2-W5</v>
      </c>
      <c r="D12" s="77" t="s">
        <v>742</v>
      </c>
      <c r="E12" s="44" t="str">
        <f t="shared" ref="E12" si="7">B12</f>
        <v>W5</v>
      </c>
      <c r="F12" s="78"/>
      <c r="G12" s="427">
        <v>140</v>
      </c>
      <c r="H12" s="579">
        <v>200</v>
      </c>
      <c r="I12" s="581">
        <f>SUMIFS('Kalk UHR GS Deisenhofen'!$P$8:$P$251,'Kalk UHR GS Deisenhofen'!$Q$8:$Q$251,2,'Kalk UHR GS Deisenhofen'!$F$8:$F$251,'Leistungswerte UHR Kigas'!C12)+SUMIF('Kalk UHR KiGa Am Rain'!$F$8:$F$76,'Leistungswerte UHR Kigas'!C12,'Kalk UHR KiGa Am Rain'!$P$8:$P$76)</f>
        <v>0</v>
      </c>
    </row>
    <row r="13" spans="1:9" ht="42" customHeight="1" thickBot="1" x14ac:dyDescent="0.3">
      <c r="A13" s="326" t="s">
        <v>191</v>
      </c>
      <c r="B13" s="44" t="s">
        <v>61</v>
      </c>
      <c r="C13" s="44" t="str">
        <f>CONCATENATE(A13,"-",B13)</f>
        <v>F1-W5</v>
      </c>
      <c r="D13" s="77" t="s">
        <v>176</v>
      </c>
      <c r="E13" s="44" t="str">
        <f>B13</f>
        <v>W5</v>
      </c>
      <c r="F13" s="78"/>
      <c r="G13" s="427">
        <v>230</v>
      </c>
      <c r="H13" s="579">
        <v>400</v>
      </c>
      <c r="I13" s="581">
        <f>SUMIFS('Kalk UHR GS Deisenhofen'!$P$8:$P$251,'Kalk UHR GS Deisenhofen'!$Q$8:$Q$251,2,'Kalk UHR GS Deisenhofen'!$F$8:$F$251,'Leistungswerte UHR Kigas'!C13)+SUMIF('Kalk UHR KiGa Am Rain'!$F$8:$F$76,'Leistungswerte UHR Kigas'!C13,'Kalk UHR KiGa Am Rain'!$P$8:$P$76)</f>
        <v>0</v>
      </c>
    </row>
    <row r="14" spans="1:9" ht="42" customHeight="1" thickBot="1" x14ac:dyDescent="0.3">
      <c r="A14" s="325" t="s">
        <v>193</v>
      </c>
      <c r="B14" s="44" t="s">
        <v>61</v>
      </c>
      <c r="C14" s="44" t="str">
        <f t="shared" si="0"/>
        <v>F3-W5</v>
      </c>
      <c r="D14" s="77" t="s">
        <v>178</v>
      </c>
      <c r="E14" s="44" t="str">
        <f t="shared" si="1"/>
        <v>W5</v>
      </c>
      <c r="F14" s="78"/>
      <c r="G14" s="427">
        <v>150</v>
      </c>
      <c r="H14" s="579">
        <v>200</v>
      </c>
      <c r="I14" s="581">
        <f>SUMIFS('Kalk UHR GS Deisenhofen'!$P$8:$P$251,'Kalk UHR GS Deisenhofen'!$Q$8:$Q$251,2,'Kalk UHR GS Deisenhofen'!$F$8:$F$251,'Leistungswerte UHR Kigas'!C14)+SUMIF('Kalk UHR KiGa Am Rain'!$F$8:$F$76,'Leistungswerte UHR Kigas'!C14,'Kalk UHR KiGa Am Rain'!$P$8:$P$76)</f>
        <v>0</v>
      </c>
    </row>
    <row r="15" spans="1:9" ht="42" customHeight="1" thickBot="1" x14ac:dyDescent="0.3">
      <c r="A15" s="325" t="s">
        <v>194</v>
      </c>
      <c r="B15" s="44" t="s">
        <v>61</v>
      </c>
      <c r="C15" s="44" t="str">
        <f>CONCATENATE(A15,"-",B15)</f>
        <v>G1-W5</v>
      </c>
      <c r="D15" s="77" t="s">
        <v>179</v>
      </c>
      <c r="E15" s="44" t="str">
        <f>B15</f>
        <v>W5</v>
      </c>
      <c r="F15" s="78"/>
      <c r="G15" s="427">
        <v>140</v>
      </c>
      <c r="H15" s="579">
        <v>200</v>
      </c>
      <c r="I15" s="581">
        <f>SUMIFS('Kalk UHR GS Deisenhofen'!$P$8:$P$251,'Kalk UHR GS Deisenhofen'!$Q$8:$Q$251,2,'Kalk UHR GS Deisenhofen'!$F$8:$F$251,'Leistungswerte UHR Kigas'!C15)+SUMIF('Kalk UHR KiGa Am Rain'!$F$8:$F$76,'Leistungswerte UHR Kigas'!C15,'Kalk UHR KiGa Am Rain'!$P$8:$P$76)</f>
        <v>0</v>
      </c>
    </row>
    <row r="16" spans="1:9" ht="42" customHeight="1" thickBot="1" x14ac:dyDescent="0.3">
      <c r="A16" s="325" t="s">
        <v>195</v>
      </c>
      <c r="B16" s="44" t="s">
        <v>61</v>
      </c>
      <c r="C16" s="44" t="str">
        <f t="shared" si="0"/>
        <v>H1-W5</v>
      </c>
      <c r="D16" s="77" t="s">
        <v>180</v>
      </c>
      <c r="E16" s="44" t="str">
        <f t="shared" si="1"/>
        <v>W5</v>
      </c>
      <c r="F16" s="78"/>
      <c r="G16" s="427">
        <v>140</v>
      </c>
      <c r="H16" s="579">
        <v>190</v>
      </c>
      <c r="I16" s="581">
        <f>SUMIFS('Kalk UHR GS Deisenhofen'!$P$8:$P$251,'Kalk UHR GS Deisenhofen'!$Q$8:$Q$251,2,'Kalk UHR GS Deisenhofen'!$F$8:$F$251,'Leistungswerte UHR Kigas'!C16)+SUMIF('Kalk UHR KiGa Am Rain'!$F$8:$F$76,'Leistungswerte UHR Kigas'!C16,'Kalk UHR KiGa Am Rain'!$P$8:$P$76)</f>
        <v>0</v>
      </c>
    </row>
    <row r="17" spans="1:9" ht="42" customHeight="1" thickBot="1" x14ac:dyDescent="0.3">
      <c r="A17" s="325" t="s">
        <v>195</v>
      </c>
      <c r="B17" s="44" t="s">
        <v>31</v>
      </c>
      <c r="C17" s="44" t="str">
        <f t="shared" ref="C17" si="8">CONCATENATE(A17,"-",B17)</f>
        <v>H1-M1</v>
      </c>
      <c r="D17" s="77" t="s">
        <v>180</v>
      </c>
      <c r="E17" s="44" t="str">
        <f t="shared" ref="E17" si="9">B17</f>
        <v>M1</v>
      </c>
      <c r="F17" s="78"/>
      <c r="G17" s="427">
        <v>150</v>
      </c>
      <c r="H17" s="579">
        <v>200</v>
      </c>
      <c r="I17" s="581">
        <f>SUMIFS('Kalk UHR GS Deisenhofen'!$P$8:$P$251,'Kalk UHR GS Deisenhofen'!$Q$8:$Q$251,2,'Kalk UHR GS Deisenhofen'!$F$8:$F$251,'Leistungswerte UHR Kigas'!C17)+SUMIF('Kalk UHR KiGa Am Rain'!$F$8:$F$76,'Leistungswerte UHR Kigas'!C17,'Kalk UHR KiGa Am Rain'!$P$8:$P$76)</f>
        <v>0</v>
      </c>
    </row>
    <row r="18" spans="1:9" ht="42" customHeight="1" thickBot="1" x14ac:dyDescent="0.3">
      <c r="A18" s="325" t="s">
        <v>173</v>
      </c>
      <c r="B18" s="44" t="s">
        <v>61</v>
      </c>
      <c r="C18" s="44" t="str">
        <f t="shared" si="0"/>
        <v>K1-W5</v>
      </c>
      <c r="D18" s="77" t="s">
        <v>181</v>
      </c>
      <c r="E18" s="44" t="str">
        <f t="shared" si="1"/>
        <v>W5</v>
      </c>
      <c r="F18" s="78"/>
      <c r="G18" s="427">
        <v>80</v>
      </c>
      <c r="H18" s="579">
        <v>120</v>
      </c>
      <c r="I18" s="581">
        <f>SUMIFS('Kalk UHR GS Deisenhofen'!$P$8:$P$251,'Kalk UHR GS Deisenhofen'!$Q$8:$Q$251,2,'Kalk UHR GS Deisenhofen'!$F$8:$F$251,'Leistungswerte UHR Kigas'!C18)+SUMIF('Kalk UHR KiGa Am Rain'!$F$8:$F$76,'Leistungswerte UHR Kigas'!C18,'Kalk UHR KiGa Am Rain'!$P$8:$P$76)</f>
        <v>0</v>
      </c>
    </row>
    <row r="19" spans="1:9" ht="42" customHeight="1" thickBot="1" x14ac:dyDescent="0.3">
      <c r="A19" s="325" t="s">
        <v>196</v>
      </c>
      <c r="B19" s="44" t="s">
        <v>61</v>
      </c>
      <c r="C19" s="44" t="str">
        <f t="shared" si="0"/>
        <v>L1-W5</v>
      </c>
      <c r="D19" s="77" t="s">
        <v>908</v>
      </c>
      <c r="E19" s="44" t="str">
        <f t="shared" si="1"/>
        <v>W5</v>
      </c>
      <c r="F19" s="78"/>
      <c r="G19" s="427">
        <v>120</v>
      </c>
      <c r="H19" s="579">
        <v>200</v>
      </c>
      <c r="I19" s="581">
        <f>SUMIFS('Kalk UHR GS Deisenhofen'!$P$8:$P$251,'Kalk UHR GS Deisenhofen'!$Q$8:$Q$251,2,'Kalk UHR GS Deisenhofen'!$F$8:$F$251,'Leistungswerte UHR Kigas'!C19)+SUMIF('Kalk UHR KiGa Am Rain'!$F$8:$F$76,'Leistungswerte UHR Kigas'!C19,'Kalk UHR KiGa Am Rain'!$P$8:$P$76)</f>
        <v>0</v>
      </c>
    </row>
    <row r="20" spans="1:9" ht="42" customHeight="1" thickBot="1" x14ac:dyDescent="0.3">
      <c r="A20" s="325" t="s">
        <v>196</v>
      </c>
      <c r="B20" s="44" t="s">
        <v>30</v>
      </c>
      <c r="C20" s="44" t="str">
        <f t="shared" si="0"/>
        <v>L1-W1</v>
      </c>
      <c r="D20" s="77" t="s">
        <v>908</v>
      </c>
      <c r="E20" s="44" t="str">
        <f t="shared" si="1"/>
        <v>W1</v>
      </c>
      <c r="F20" s="78"/>
      <c r="G20" s="427">
        <v>80</v>
      </c>
      <c r="H20" s="579">
        <v>180</v>
      </c>
      <c r="I20" s="581">
        <f>SUMIFS('Kalk UHR GS Deisenhofen'!$P$8:$P$251,'Kalk UHR GS Deisenhofen'!$Q$8:$Q$251,2,'Kalk UHR GS Deisenhofen'!$F$8:$F$251,'Leistungswerte UHR Kigas'!C20)+SUMIF('Kalk UHR KiGa Am Rain'!$F$8:$F$76,'Leistungswerte UHR Kigas'!C20,'Kalk UHR KiGa Am Rain'!$P$8:$P$76)</f>
        <v>0</v>
      </c>
    </row>
    <row r="21" spans="1:9" ht="42" customHeight="1" thickBot="1" x14ac:dyDescent="0.3">
      <c r="A21" s="325" t="s">
        <v>196</v>
      </c>
      <c r="B21" s="44" t="s">
        <v>31</v>
      </c>
      <c r="C21" s="44" t="str">
        <f t="shared" si="0"/>
        <v>L1-M1</v>
      </c>
      <c r="D21" s="77" t="s">
        <v>908</v>
      </c>
      <c r="E21" s="44" t="str">
        <f t="shared" si="1"/>
        <v>M1</v>
      </c>
      <c r="F21" s="78"/>
      <c r="G21" s="427">
        <v>120</v>
      </c>
      <c r="H21" s="579">
        <v>250</v>
      </c>
      <c r="I21" s="581">
        <f>SUMIFS('Kalk UHR GS Deisenhofen'!$P$8:$P$251,'Kalk UHR GS Deisenhofen'!$Q$8:$Q$251,2,'Kalk UHR GS Deisenhofen'!$F$8:$F$251,'Leistungswerte UHR Kigas'!C21)+SUMIF('Kalk UHR KiGa Am Rain'!$F$8:$F$76,'Leistungswerte UHR Kigas'!C21,'Kalk UHR KiGa Am Rain'!$P$8:$P$76)</f>
        <v>0</v>
      </c>
    </row>
    <row r="22" spans="1:9" ht="42" customHeight="1" thickBot="1" x14ac:dyDescent="0.3">
      <c r="A22" s="325" t="s">
        <v>197</v>
      </c>
      <c r="B22" s="44" t="s">
        <v>54</v>
      </c>
      <c r="C22" s="44" t="str">
        <f t="shared" si="0"/>
        <v>L3-J1</v>
      </c>
      <c r="D22" s="77" t="s">
        <v>166</v>
      </c>
      <c r="E22" s="44" t="str">
        <f t="shared" si="1"/>
        <v>J1</v>
      </c>
      <c r="F22" s="78"/>
      <c r="G22" s="427">
        <v>90</v>
      </c>
      <c r="H22" s="579">
        <v>180</v>
      </c>
      <c r="I22" s="581">
        <f>SUMIFS('Kalk UHR GS Deisenhofen'!$P$8:$P$251,'Kalk UHR GS Deisenhofen'!$Q$8:$Q$251,2,'Kalk UHR GS Deisenhofen'!$F$8:$F$251,'Leistungswerte UHR Kigas'!C22)+SUMIF('Kalk UHR KiGa Am Rain'!$F$8:$F$76,'Leistungswerte UHR Kigas'!C22,'Kalk UHR KiGa Am Rain'!$P$8:$P$76)</f>
        <v>0</v>
      </c>
    </row>
    <row r="23" spans="1:9" ht="42" customHeight="1" thickBot="1" x14ac:dyDescent="0.3">
      <c r="A23" s="325" t="s">
        <v>31</v>
      </c>
      <c r="B23" s="44" t="s">
        <v>61</v>
      </c>
      <c r="C23" s="44" t="str">
        <f t="shared" ref="C23:C24" si="10">CONCATENATE(A23,"-",B23)</f>
        <v>M1-W5</v>
      </c>
      <c r="D23" s="77" t="s">
        <v>684</v>
      </c>
      <c r="E23" s="44" t="str">
        <f t="shared" ref="E23:E24" si="11">B23</f>
        <v>W5</v>
      </c>
      <c r="F23" s="78"/>
      <c r="G23" s="427">
        <v>130</v>
      </c>
      <c r="H23" s="579">
        <v>180</v>
      </c>
      <c r="I23" s="581">
        <f>SUMIFS('Kalk UHR GS Deisenhofen'!$P$8:$P$251,'Kalk UHR GS Deisenhofen'!$Q$8:$Q$251,2,'Kalk UHR GS Deisenhofen'!$F$8:$F$251,'Leistungswerte UHR Kigas'!C23)+SUMIF('Kalk UHR KiGa Am Rain'!$F$8:$F$76,'Leistungswerte UHR Kigas'!C23,'Kalk UHR KiGa Am Rain'!$P$8:$P$76)</f>
        <v>0</v>
      </c>
    </row>
    <row r="24" spans="1:9" ht="42" customHeight="1" thickBot="1" x14ac:dyDescent="0.3">
      <c r="A24" s="325" t="s">
        <v>199</v>
      </c>
      <c r="B24" s="44" t="s">
        <v>61</v>
      </c>
      <c r="C24" s="44" t="str">
        <f t="shared" si="10"/>
        <v>N2-W5</v>
      </c>
      <c r="D24" s="77" t="s">
        <v>745</v>
      </c>
      <c r="E24" s="44" t="str">
        <f t="shared" si="11"/>
        <v>W5</v>
      </c>
      <c r="F24" s="78"/>
      <c r="G24" s="427">
        <v>230</v>
      </c>
      <c r="H24" s="579">
        <v>360</v>
      </c>
      <c r="I24" s="581">
        <f>SUMIFS('Kalk UHR GS Deisenhofen'!$P$8:$P$251,'Kalk UHR GS Deisenhofen'!$Q$8:$Q$251,2,'Kalk UHR GS Deisenhofen'!$F$8:$F$251,'Leistungswerte UHR Kigas'!C24)+SUMIF('Kalk UHR KiGa Am Rain'!$F$8:$F$76,'Leistungswerte UHR Kigas'!C24,'Kalk UHR KiGa Am Rain'!$P$8:$P$76)</f>
        <v>0</v>
      </c>
    </row>
    <row r="25" spans="1:9" ht="42" customHeight="1" thickBot="1" x14ac:dyDescent="0.3">
      <c r="A25" s="325" t="s">
        <v>200</v>
      </c>
      <c r="B25" s="44" t="s">
        <v>61</v>
      </c>
      <c r="C25" s="44" t="str">
        <f t="shared" si="0"/>
        <v>S1-W5</v>
      </c>
      <c r="D25" s="77" t="s">
        <v>184</v>
      </c>
      <c r="E25" s="44" t="str">
        <f t="shared" si="1"/>
        <v>W5</v>
      </c>
      <c r="F25" s="78"/>
      <c r="G25" s="427">
        <v>40</v>
      </c>
      <c r="H25" s="579">
        <v>80</v>
      </c>
      <c r="I25" s="581">
        <f>SUMIFS('Kalk UHR GS Deisenhofen'!$P$8:$P$251,'Kalk UHR GS Deisenhofen'!$Q$8:$Q$251,2,'Kalk UHR GS Deisenhofen'!$F$8:$F$251,'Leistungswerte UHR Kigas'!C25)+SUMIF('Kalk UHR KiGa Am Rain'!$F$8:$F$76,'Leistungswerte UHR Kigas'!C25,'Kalk UHR KiGa Am Rain'!$P$8:$P$76)</f>
        <v>0</v>
      </c>
    </row>
    <row r="26" spans="1:9" ht="42" customHeight="1" thickBot="1" x14ac:dyDescent="0.3">
      <c r="A26" s="325" t="s">
        <v>203</v>
      </c>
      <c r="B26" s="44" t="s">
        <v>61</v>
      </c>
      <c r="C26" s="44" t="str">
        <f t="shared" ref="C26" si="12">CONCATENATE(A26,"-",B26)</f>
        <v>U3-W5</v>
      </c>
      <c r="D26" s="77" t="s">
        <v>679</v>
      </c>
      <c r="E26" s="44" t="str">
        <f t="shared" ref="E26" si="13">B26</f>
        <v>W5</v>
      </c>
      <c r="F26" s="78"/>
      <c r="G26" s="427">
        <v>120</v>
      </c>
      <c r="H26" s="579">
        <v>220</v>
      </c>
      <c r="I26" s="581">
        <f>SUMIFS('Kalk UHR GS Deisenhofen'!$P$8:$P$251,'Kalk UHR GS Deisenhofen'!$Q$8:$Q$251,2,'Kalk UHR GS Deisenhofen'!$F$8:$F$251,'Leistungswerte UHR Kigas'!C26)+SUMIF('Kalk UHR KiGa Am Rain'!$F$8:$F$76,'Leistungswerte UHR Kigas'!C26,'Kalk UHR KiGa Am Rain'!$P$8:$P$76)</f>
        <v>0</v>
      </c>
    </row>
    <row r="27" spans="1:9" ht="42" customHeight="1" x14ac:dyDescent="0.25">
      <c r="A27" s="325" t="s">
        <v>16</v>
      </c>
      <c r="B27" s="44" t="s">
        <v>68</v>
      </c>
      <c r="C27" s="44" t="str">
        <f t="shared" si="0"/>
        <v>Z-kR</v>
      </c>
      <c r="D27" s="77" t="s">
        <v>247</v>
      </c>
      <c r="E27" s="44" t="str">
        <f t="shared" si="1"/>
        <v>kR</v>
      </c>
      <c r="F27" s="324"/>
      <c r="G27" s="324"/>
      <c r="H27" s="580"/>
      <c r="I27" s="581">
        <f>SUMIFS('Kalk UHR GS Deisenhofen'!$P$8:$P$251,'Kalk UHR GS Deisenhofen'!$Q$8:$Q$251,2,'Kalk UHR GS Deisenhofen'!$F$8:$F$251,'Leistungswerte UHR Kigas'!C27)+SUMIF('Kalk UHR KiGa Am Rain'!$F$8:$F$76,'Leistungswerte UHR Kigas'!C27,'Kalk UHR KiGa Am Rain'!$P$8:$P$76)</f>
        <v>0</v>
      </c>
    </row>
    <row r="28" spans="1:9" ht="29.4" customHeight="1" x14ac:dyDescent="0.25">
      <c r="H28" s="582" t="s">
        <v>1002</v>
      </c>
      <c r="I28" s="583">
        <f>SUM(I6:I27)</f>
        <v>0</v>
      </c>
    </row>
  </sheetData>
  <sheetProtection selectLockedCells="1"/>
  <mergeCells count="2">
    <mergeCell ref="A4:F4"/>
    <mergeCell ref="A3:H3"/>
  </mergeCells>
  <phoneticPr fontId="50" type="noConversion"/>
  <pageMargins left="0.70866141732283472" right="0.70866141732283472" top="0.78740157480314965" bottom="0.78740157480314965" header="0.31496062992125984" footer="0.31496062992125984"/>
  <pageSetup paperSize="9" scale="45" orientation="portrait" horizontalDpi="4294967293" verticalDpi="300" r:id="rId1"/>
  <headerFooter>
    <oddHeader>&amp;CAusschreibung Reinigung Gemeinde Oberhaching 2026</oddHeader>
    <oddFooter>Seite &amp;P von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6FEB9-9B3F-4963-99A8-0CF9AC7CA450}">
  <sheetPr>
    <tabColor theme="7" tint="0.59999389629810485"/>
  </sheetPr>
  <dimension ref="A1:J28"/>
  <sheetViews>
    <sheetView zoomScale="70" zoomScaleNormal="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49.5546875" style="9" customWidth="1"/>
    <col min="5" max="5" width="15.33203125" style="9" customWidth="1"/>
    <col min="6" max="9" width="19.44140625" style="9" customWidth="1"/>
    <col min="10" max="10" width="9.44140625" style="9" customWidth="1"/>
    <col min="11" max="16384" width="11.44140625" style="9"/>
  </cols>
  <sheetData>
    <row r="1" spans="1:10" ht="36.75" customHeight="1" x14ac:dyDescent="0.25">
      <c r="A1" s="75" t="s">
        <v>3</v>
      </c>
      <c r="B1" s="449">
        <f>Basisdaten!E5</f>
        <v>0</v>
      </c>
      <c r="C1" s="329"/>
      <c r="D1" s="75"/>
      <c r="E1" s="300" t="s">
        <v>1</v>
      </c>
      <c r="F1" s="299">
        <f>Basisdaten!E3</f>
        <v>0</v>
      </c>
      <c r="G1" s="299"/>
      <c r="H1" s="299"/>
      <c r="I1" s="299"/>
      <c r="J1" s="299"/>
    </row>
    <row r="2" spans="1:10" ht="29.4" customHeight="1" x14ac:dyDescent="0.3">
      <c r="B2" s="572"/>
    </row>
    <row r="3" spans="1:10" ht="24.75" customHeight="1" x14ac:dyDescent="0.25">
      <c r="A3" s="631" t="s">
        <v>1001</v>
      </c>
      <c r="B3" s="631"/>
      <c r="C3" s="631"/>
      <c r="D3" s="631"/>
      <c r="E3" s="631"/>
      <c r="F3" s="631"/>
      <c r="G3" s="568"/>
      <c r="H3" s="568"/>
      <c r="I3" s="568"/>
    </row>
    <row r="4" spans="1:10" ht="39" customHeight="1" thickBot="1" x14ac:dyDescent="0.3">
      <c r="A4" s="637" t="s">
        <v>95</v>
      </c>
      <c r="B4" s="637"/>
      <c r="C4" s="637"/>
      <c r="D4" s="637"/>
      <c r="E4" s="637"/>
      <c r="F4" s="637"/>
      <c r="G4" s="637"/>
      <c r="H4" s="637"/>
      <c r="I4" s="74"/>
    </row>
    <row r="5" spans="1:10" ht="45" customHeight="1" thickBot="1" x14ac:dyDescent="0.3">
      <c r="A5" s="76" t="s">
        <v>57</v>
      </c>
      <c r="B5" s="76" t="s">
        <v>59</v>
      </c>
      <c r="C5" s="76" t="s">
        <v>239</v>
      </c>
      <c r="D5" s="76" t="s">
        <v>58</v>
      </c>
      <c r="E5" s="76" t="s">
        <v>59</v>
      </c>
      <c r="F5" s="76" t="s">
        <v>60</v>
      </c>
      <c r="G5" s="76" t="s">
        <v>740</v>
      </c>
      <c r="H5" s="76" t="s">
        <v>741</v>
      </c>
      <c r="I5" s="44" t="s">
        <v>988</v>
      </c>
    </row>
    <row r="6" spans="1:10" ht="42" customHeight="1" thickBot="1" x14ac:dyDescent="0.3">
      <c r="A6" s="325" t="s">
        <v>186</v>
      </c>
      <c r="B6" s="44" t="str">
        <f>E6</f>
        <v>J0,5</v>
      </c>
      <c r="C6" s="44" t="str">
        <f t="shared" ref="C6:C24" si="0">CONCATENATE(A6,"-",B6)</f>
        <v>A1-J0,5</v>
      </c>
      <c r="D6" s="77" t="s">
        <v>747</v>
      </c>
      <c r="E6" s="44" t="s">
        <v>909</v>
      </c>
      <c r="F6" s="78"/>
      <c r="G6" s="571">
        <v>10</v>
      </c>
      <c r="H6" s="571">
        <v>20</v>
      </c>
      <c r="I6" s="581">
        <f>SUMIFS('Kalk GR GS Deisenhofen'!$Q$8:$Q$251,'Kalk GR GS Deisenhofen'!$R$8:$R$251,1,'Kalk GR GS Deisenhofen'!$G$8:$G$251,C6)</f>
        <v>0</v>
      </c>
    </row>
    <row r="7" spans="1:10" ht="42" customHeight="1" thickBot="1" x14ac:dyDescent="0.3">
      <c r="A7" s="325" t="s">
        <v>187</v>
      </c>
      <c r="B7" s="44" t="str">
        <f t="shared" ref="B7" si="1">E7</f>
        <v>J0,5</v>
      </c>
      <c r="C7" s="44" t="str">
        <f t="shared" ref="C7" si="2">CONCATENATE(A7,"-",B7)</f>
        <v>B1-J0,5</v>
      </c>
      <c r="D7" s="77" t="s">
        <v>174</v>
      </c>
      <c r="E7" s="44" t="s">
        <v>909</v>
      </c>
      <c r="F7" s="78"/>
      <c r="G7" s="571">
        <v>12</v>
      </c>
      <c r="H7" s="571">
        <v>20</v>
      </c>
      <c r="I7" s="581">
        <f>SUMIFS('Kalk GR GS Deisenhofen'!$Q$8:$Q$251,'Kalk GR GS Deisenhofen'!$R$8:$R$251,1,'Kalk GR GS Deisenhofen'!$G$8:$G$251,C7)</f>
        <v>0</v>
      </c>
    </row>
    <row r="8" spans="1:10" ht="42" customHeight="1" thickBot="1" x14ac:dyDescent="0.3">
      <c r="A8" s="325" t="s">
        <v>188</v>
      </c>
      <c r="B8" s="44" t="str">
        <f t="shared" ref="B8:B26" si="3">E8</f>
        <v>J0,5</v>
      </c>
      <c r="C8" s="44" t="str">
        <f t="shared" si="0"/>
        <v>B2-J0,5</v>
      </c>
      <c r="D8" s="77" t="s">
        <v>686</v>
      </c>
      <c r="E8" s="44" t="s">
        <v>909</v>
      </c>
      <c r="F8" s="78"/>
      <c r="G8" s="571">
        <v>12</v>
      </c>
      <c r="H8" s="571">
        <v>20</v>
      </c>
      <c r="I8" s="581">
        <f>SUMIFS('Kalk GR GS Deisenhofen'!$Q$8:$Q$251,'Kalk GR GS Deisenhofen'!$R$8:$R$251,1,'Kalk GR GS Deisenhofen'!$G$8:$G$251,C8)</f>
        <v>0</v>
      </c>
    </row>
    <row r="9" spans="1:10" ht="42" customHeight="1" thickBot="1" x14ac:dyDescent="0.3">
      <c r="A9" s="325" t="s">
        <v>189</v>
      </c>
      <c r="B9" s="44" t="str">
        <f t="shared" si="3"/>
        <v>J1</v>
      </c>
      <c r="C9" s="44" t="str">
        <f t="shared" si="0"/>
        <v>D1-J1</v>
      </c>
      <c r="D9" s="77" t="s">
        <v>175</v>
      </c>
      <c r="E9" s="44" t="s">
        <v>54</v>
      </c>
      <c r="F9" s="78"/>
      <c r="G9" s="571">
        <v>6</v>
      </c>
      <c r="H9" s="571">
        <v>15</v>
      </c>
      <c r="I9" s="581">
        <f>SUMIFS('Kalk GR GS Deisenhofen'!$Q$8:$Q$251,'Kalk GR GS Deisenhofen'!$R$8:$R$251,1,'Kalk GR GS Deisenhofen'!$G$8:$G$251,C9)</f>
        <v>0</v>
      </c>
    </row>
    <row r="10" spans="1:10" ht="42" customHeight="1" thickBot="1" x14ac:dyDescent="0.3">
      <c r="A10" s="325" t="s">
        <v>190</v>
      </c>
      <c r="B10" s="44" t="str">
        <f t="shared" si="3"/>
        <v>J0,5</v>
      </c>
      <c r="C10" s="44" t="str">
        <f t="shared" si="0"/>
        <v>E1-J0,5</v>
      </c>
      <c r="D10" s="77" t="s">
        <v>743</v>
      </c>
      <c r="E10" s="44" t="s">
        <v>909</v>
      </c>
      <c r="F10" s="78"/>
      <c r="G10" s="571">
        <v>20</v>
      </c>
      <c r="H10" s="571">
        <v>40</v>
      </c>
      <c r="I10" s="581">
        <f>SUMIFS('Kalk GR GS Deisenhofen'!$Q$8:$Q$251,'Kalk GR GS Deisenhofen'!$R$8:$R$251,1,'Kalk GR GS Deisenhofen'!$G$8:$G$251,C10)</f>
        <v>0</v>
      </c>
    </row>
    <row r="11" spans="1:10" ht="42" customHeight="1" thickBot="1" x14ac:dyDescent="0.3">
      <c r="A11" s="325" t="s">
        <v>744</v>
      </c>
      <c r="B11" s="44" t="str">
        <f t="shared" si="3"/>
        <v>J0,5</v>
      </c>
      <c r="C11" s="44" t="str">
        <f t="shared" si="0"/>
        <v>E2-J0,5</v>
      </c>
      <c r="D11" s="77" t="s">
        <v>742</v>
      </c>
      <c r="E11" s="44" t="s">
        <v>909</v>
      </c>
      <c r="F11" s="78"/>
      <c r="G11" s="571">
        <v>14</v>
      </c>
      <c r="H11" s="571">
        <v>28</v>
      </c>
      <c r="I11" s="581">
        <f>SUMIFS('Kalk GR GS Deisenhofen'!$Q$8:$Q$251,'Kalk GR GS Deisenhofen'!$R$8:$R$251,1,'Kalk GR GS Deisenhofen'!$G$8:$G$251,C11)</f>
        <v>0</v>
      </c>
    </row>
    <row r="12" spans="1:10" ht="42" customHeight="1" thickBot="1" x14ac:dyDescent="0.3">
      <c r="A12" s="325" t="s">
        <v>191</v>
      </c>
      <c r="B12" s="44" t="str">
        <f t="shared" si="3"/>
        <v>J0,5</v>
      </c>
      <c r="C12" s="44" t="str">
        <f t="shared" si="0"/>
        <v>F1-J0,5</v>
      </c>
      <c r="D12" s="77" t="s">
        <v>176</v>
      </c>
      <c r="E12" s="44" t="s">
        <v>909</v>
      </c>
      <c r="F12" s="78"/>
      <c r="G12" s="571">
        <v>18</v>
      </c>
      <c r="H12" s="571">
        <v>35</v>
      </c>
      <c r="I12" s="581">
        <f>SUMIFS('Kalk GR GS Deisenhofen'!$Q$8:$Q$251,'Kalk GR GS Deisenhofen'!$R$8:$R$251,1,'Kalk GR GS Deisenhofen'!$G$8:$G$251,C12)</f>
        <v>0</v>
      </c>
    </row>
    <row r="13" spans="1:10" ht="42" customHeight="1" thickBot="1" x14ac:dyDescent="0.3">
      <c r="A13" s="325" t="s">
        <v>192</v>
      </c>
      <c r="B13" s="44" t="str">
        <f t="shared" si="3"/>
        <v>J0,5</v>
      </c>
      <c r="C13" s="44" t="str">
        <f t="shared" si="0"/>
        <v>F2-J0,5</v>
      </c>
      <c r="D13" s="77" t="s">
        <v>177</v>
      </c>
      <c r="E13" s="44" t="s">
        <v>909</v>
      </c>
      <c r="F13" s="78"/>
      <c r="G13" s="571">
        <v>3</v>
      </c>
      <c r="H13" s="571">
        <v>8</v>
      </c>
      <c r="I13" s="581">
        <f>SUMIFS('Kalk GR GS Deisenhofen'!$Q$8:$Q$251,'Kalk GR GS Deisenhofen'!$R$8:$R$251,1,'Kalk GR GS Deisenhofen'!$G$8:$G$251,C13)</f>
        <v>0</v>
      </c>
    </row>
    <row r="14" spans="1:10" ht="42" customHeight="1" thickBot="1" x14ac:dyDescent="0.3">
      <c r="A14" s="325" t="s">
        <v>193</v>
      </c>
      <c r="B14" s="44" t="str">
        <f t="shared" si="3"/>
        <v>J0,5</v>
      </c>
      <c r="C14" s="44" t="str">
        <f t="shared" si="0"/>
        <v>F3-J0,5</v>
      </c>
      <c r="D14" s="77" t="s">
        <v>178</v>
      </c>
      <c r="E14" s="44" t="s">
        <v>909</v>
      </c>
      <c r="F14" s="78"/>
      <c r="G14" s="571">
        <v>10</v>
      </c>
      <c r="H14" s="571">
        <v>20</v>
      </c>
      <c r="I14" s="581">
        <f>SUMIFS('Kalk GR GS Deisenhofen'!$Q$8:$Q$251,'Kalk GR GS Deisenhofen'!$R$8:$R$251,1,'Kalk GR GS Deisenhofen'!$G$8:$G$251,C14)</f>
        <v>0</v>
      </c>
    </row>
    <row r="15" spans="1:10" ht="42" customHeight="1" thickBot="1" x14ac:dyDescent="0.3">
      <c r="A15" s="325" t="s">
        <v>681</v>
      </c>
      <c r="B15" s="44" t="str">
        <f t="shared" si="3"/>
        <v>J0,5</v>
      </c>
      <c r="C15" s="44" t="str">
        <f t="shared" si="0"/>
        <v>F4-J0,5</v>
      </c>
      <c r="D15" s="77" t="s">
        <v>456</v>
      </c>
      <c r="E15" s="44" t="s">
        <v>909</v>
      </c>
      <c r="F15" s="78"/>
      <c r="G15" s="571">
        <v>15</v>
      </c>
      <c r="H15" s="571">
        <v>30</v>
      </c>
      <c r="I15" s="581">
        <f>SUMIFS('Kalk GR GS Deisenhofen'!$Q$8:$Q$251,'Kalk GR GS Deisenhofen'!$R$8:$R$251,1,'Kalk GR GS Deisenhofen'!$G$8:$G$251,C15)</f>
        <v>0</v>
      </c>
    </row>
    <row r="16" spans="1:10" ht="42" customHeight="1" thickBot="1" x14ac:dyDescent="0.3">
      <c r="A16" s="325" t="s">
        <v>194</v>
      </c>
      <c r="B16" s="44" t="str">
        <f t="shared" si="3"/>
        <v>J0,5</v>
      </c>
      <c r="C16" s="44" t="str">
        <f t="shared" si="0"/>
        <v>G1-J0,5</v>
      </c>
      <c r="D16" s="77" t="s">
        <v>179</v>
      </c>
      <c r="E16" s="44" t="s">
        <v>909</v>
      </c>
      <c r="F16" s="78"/>
      <c r="G16" s="571">
        <v>10</v>
      </c>
      <c r="H16" s="571">
        <v>20</v>
      </c>
      <c r="I16" s="581">
        <f>SUMIFS('Kalk GR GS Deisenhofen'!$Q$8:$Q$251,'Kalk GR GS Deisenhofen'!$R$8:$R$251,1,'Kalk GR GS Deisenhofen'!$G$8:$G$251,C16)</f>
        <v>0</v>
      </c>
    </row>
    <row r="17" spans="1:9" ht="42" customHeight="1" thickBot="1" x14ac:dyDescent="0.3">
      <c r="A17" s="325" t="s">
        <v>195</v>
      </c>
      <c r="B17" s="44" t="str">
        <f t="shared" si="3"/>
        <v>J0,5</v>
      </c>
      <c r="C17" s="44" t="str">
        <f t="shared" si="0"/>
        <v>H1-J0,5</v>
      </c>
      <c r="D17" s="77" t="s">
        <v>180</v>
      </c>
      <c r="E17" s="44" t="s">
        <v>909</v>
      </c>
      <c r="F17" s="78"/>
      <c r="G17" s="571">
        <v>11</v>
      </c>
      <c r="H17" s="571">
        <v>28</v>
      </c>
      <c r="I17" s="581">
        <f>SUMIFS('Kalk GR GS Deisenhofen'!$Q$8:$Q$251,'Kalk GR GS Deisenhofen'!$R$8:$R$251,1,'Kalk GR GS Deisenhofen'!$G$8:$G$251,C17)</f>
        <v>0</v>
      </c>
    </row>
    <row r="18" spans="1:9" ht="42" customHeight="1" thickBot="1" x14ac:dyDescent="0.3">
      <c r="A18" s="325" t="s">
        <v>196</v>
      </c>
      <c r="B18" s="44" t="str">
        <f t="shared" si="3"/>
        <v>J0,5</v>
      </c>
      <c r="C18" s="44" t="str">
        <f t="shared" si="0"/>
        <v>L1-J0,5</v>
      </c>
      <c r="D18" s="77" t="s">
        <v>165</v>
      </c>
      <c r="E18" s="44" t="s">
        <v>909</v>
      </c>
      <c r="F18" s="78"/>
      <c r="G18" s="571">
        <v>10</v>
      </c>
      <c r="H18" s="571">
        <v>50</v>
      </c>
      <c r="I18" s="581">
        <f>SUMIFS('Kalk GR GS Deisenhofen'!$Q$8:$Q$251,'Kalk GR GS Deisenhofen'!$R$8:$R$251,1,'Kalk GR GS Deisenhofen'!$G$8:$G$251,C18)</f>
        <v>0</v>
      </c>
    </row>
    <row r="19" spans="1:9" ht="42" customHeight="1" thickBot="1" x14ac:dyDescent="0.3">
      <c r="A19" s="325" t="s">
        <v>197</v>
      </c>
      <c r="B19" s="44" t="str">
        <f t="shared" si="3"/>
        <v>J0,5</v>
      </c>
      <c r="C19" s="44" t="str">
        <f t="shared" si="0"/>
        <v>L3-J0,5</v>
      </c>
      <c r="D19" s="77" t="s">
        <v>166</v>
      </c>
      <c r="E19" s="44" t="s">
        <v>909</v>
      </c>
      <c r="F19" s="78"/>
      <c r="G19" s="571">
        <v>12</v>
      </c>
      <c r="H19" s="571">
        <v>16</v>
      </c>
      <c r="I19" s="581">
        <f>SUMIFS('Kalk GR GS Deisenhofen'!$Q$8:$Q$251,'Kalk GR GS Deisenhofen'!$R$8:$R$251,1,'Kalk GR GS Deisenhofen'!$G$8:$G$251,C19)</f>
        <v>0</v>
      </c>
    </row>
    <row r="20" spans="1:9" ht="42" customHeight="1" thickBot="1" x14ac:dyDescent="0.3">
      <c r="A20" s="325" t="s">
        <v>198</v>
      </c>
      <c r="B20" s="44" t="str">
        <f t="shared" si="3"/>
        <v>J0,5</v>
      </c>
      <c r="C20" s="44" t="str">
        <f t="shared" si="0"/>
        <v>N1-J0,5</v>
      </c>
      <c r="D20" s="77" t="s">
        <v>183</v>
      </c>
      <c r="E20" s="44" t="s">
        <v>909</v>
      </c>
      <c r="F20" s="78"/>
      <c r="G20" s="571">
        <v>25</v>
      </c>
      <c r="H20" s="571">
        <v>60</v>
      </c>
      <c r="I20" s="581">
        <f>SUMIFS('Kalk GR GS Deisenhofen'!$Q$8:$Q$251,'Kalk GR GS Deisenhofen'!$R$8:$R$251,1,'Kalk GR GS Deisenhofen'!$G$8:$G$251,C20)</f>
        <v>0</v>
      </c>
    </row>
    <row r="21" spans="1:9" ht="42" customHeight="1" thickBot="1" x14ac:dyDescent="0.3">
      <c r="A21" s="325" t="s">
        <v>200</v>
      </c>
      <c r="B21" s="44" t="str">
        <f t="shared" si="3"/>
        <v>J1</v>
      </c>
      <c r="C21" s="44" t="str">
        <f t="shared" si="0"/>
        <v>S1-J1</v>
      </c>
      <c r="D21" s="77" t="s">
        <v>184</v>
      </c>
      <c r="E21" s="44" t="s">
        <v>54</v>
      </c>
      <c r="F21" s="78"/>
      <c r="G21" s="571">
        <v>4</v>
      </c>
      <c r="H21" s="571">
        <v>12</v>
      </c>
      <c r="I21" s="581">
        <f>SUMIFS('Kalk GR GS Deisenhofen'!$Q$8:$Q$251,'Kalk GR GS Deisenhofen'!$R$8:$R$251,1,'Kalk GR GS Deisenhofen'!$G$8:$G$251,C21)</f>
        <v>0</v>
      </c>
    </row>
    <row r="22" spans="1:9" ht="42" customHeight="1" thickBot="1" x14ac:dyDescent="0.3">
      <c r="A22" s="325" t="s">
        <v>201</v>
      </c>
      <c r="B22" s="44" t="str">
        <f t="shared" si="3"/>
        <v>J0,5</v>
      </c>
      <c r="C22" s="44" t="str">
        <f t="shared" si="0"/>
        <v>U1-J0,5</v>
      </c>
      <c r="D22" s="77" t="s">
        <v>746</v>
      </c>
      <c r="E22" s="44" t="s">
        <v>909</v>
      </c>
      <c r="F22" s="78"/>
      <c r="G22" s="571">
        <v>10</v>
      </c>
      <c r="H22" s="571">
        <v>20</v>
      </c>
      <c r="I22" s="581">
        <f>SUMIFS('Kalk GR GS Deisenhofen'!$Q$8:$Q$251,'Kalk GR GS Deisenhofen'!$R$8:$R$251,1,'Kalk GR GS Deisenhofen'!$G$8:$G$251,C22)</f>
        <v>0</v>
      </c>
    </row>
    <row r="23" spans="1:9" ht="42" customHeight="1" thickBot="1" x14ac:dyDescent="0.3">
      <c r="A23" s="325" t="s">
        <v>202</v>
      </c>
      <c r="B23" s="44" t="str">
        <f t="shared" si="3"/>
        <v>J0,5</v>
      </c>
      <c r="C23" s="44" t="str">
        <f t="shared" si="0"/>
        <v>U2-J0,5</v>
      </c>
      <c r="D23" s="77" t="s">
        <v>269</v>
      </c>
      <c r="E23" s="44" t="s">
        <v>909</v>
      </c>
      <c r="F23" s="78"/>
      <c r="G23" s="571">
        <v>8</v>
      </c>
      <c r="H23" s="571">
        <v>18</v>
      </c>
      <c r="I23" s="581">
        <f>SUMIFS('Kalk GR GS Deisenhofen'!$Q$8:$Q$251,'Kalk GR GS Deisenhofen'!$R$8:$R$251,1,'Kalk GR GS Deisenhofen'!$G$8:$G$251,C23)</f>
        <v>0</v>
      </c>
    </row>
    <row r="24" spans="1:9" ht="42" customHeight="1" thickBot="1" x14ac:dyDescent="0.3">
      <c r="A24" s="325" t="s">
        <v>203</v>
      </c>
      <c r="B24" s="44" t="str">
        <f t="shared" si="3"/>
        <v>J0,5</v>
      </c>
      <c r="C24" s="44" t="str">
        <f t="shared" si="0"/>
        <v>U3-J0,5</v>
      </c>
      <c r="D24" s="77" t="s">
        <v>679</v>
      </c>
      <c r="E24" s="44" t="s">
        <v>909</v>
      </c>
      <c r="F24" s="78"/>
      <c r="G24" s="571">
        <v>10</v>
      </c>
      <c r="H24" s="571">
        <v>20</v>
      </c>
      <c r="I24" s="581">
        <f>SUMIFS('Kalk GR GS Deisenhofen'!$Q$8:$Q$251,'Kalk GR GS Deisenhofen'!$R$8:$R$251,1,'Kalk GR GS Deisenhofen'!$G$8:$G$251,C24)</f>
        <v>0</v>
      </c>
    </row>
    <row r="25" spans="1:9" ht="42" customHeight="1" thickBot="1" x14ac:dyDescent="0.3">
      <c r="A25" s="325" t="s">
        <v>885</v>
      </c>
      <c r="B25" s="44" t="str">
        <f t="shared" ref="B25" si="4">E25</f>
        <v>J0,5</v>
      </c>
      <c r="C25" s="44" t="str">
        <f t="shared" ref="C25" si="5">CONCATENATE(A25,"-",B25)</f>
        <v>V1-J0,5</v>
      </c>
      <c r="D25" s="77" t="s">
        <v>886</v>
      </c>
      <c r="E25" s="44" t="s">
        <v>909</v>
      </c>
      <c r="F25" s="78"/>
      <c r="G25" s="571">
        <v>15</v>
      </c>
      <c r="H25" s="571">
        <v>40</v>
      </c>
      <c r="I25" s="581">
        <f>SUMIFS('Kalk GR GS Deisenhofen'!$Q$8:$Q$251,'Kalk GR GS Deisenhofen'!$R$8:$R$251,1,'Kalk GR GS Deisenhofen'!$G$8:$G$251,C25)</f>
        <v>0</v>
      </c>
    </row>
    <row r="26" spans="1:9" ht="42" customHeight="1" x14ac:dyDescent="0.25">
      <c r="A26" s="325" t="s">
        <v>16</v>
      </c>
      <c r="B26" s="44" t="str">
        <f t="shared" si="3"/>
        <v>kR</v>
      </c>
      <c r="C26" s="44" t="str">
        <f>CONCATENATE(A26,"--",B26)</f>
        <v>Z--kR</v>
      </c>
      <c r="D26" s="77" t="s">
        <v>940</v>
      </c>
      <c r="E26" s="44" t="s">
        <v>68</v>
      </c>
      <c r="F26" s="324"/>
      <c r="G26" s="570"/>
      <c r="H26" s="570"/>
      <c r="I26" s="581">
        <f>SUMIFS('Kalk GR GS Deisenhofen'!$Q$8:$Q$251,'Kalk GR GS Deisenhofen'!$R$8:$R$251,1,'Kalk GR GS Deisenhofen'!$G$8:$G$251,C26)</f>
        <v>0</v>
      </c>
    </row>
    <row r="27" spans="1:9" ht="30" customHeight="1" x14ac:dyDescent="0.3">
      <c r="H27" s="589" t="s">
        <v>1002</v>
      </c>
      <c r="I27" s="590">
        <f>SUM(I6:I26)</f>
        <v>0</v>
      </c>
    </row>
    <row r="28" spans="1:9" ht="18" customHeight="1" x14ac:dyDescent="0.25"/>
  </sheetData>
  <sheetProtection selectLockedCells="1"/>
  <mergeCells count="2">
    <mergeCell ref="A3:F3"/>
    <mergeCell ref="A4:H4"/>
  </mergeCells>
  <phoneticPr fontId="50" type="noConversion"/>
  <pageMargins left="0.70866141732283472" right="0.70866141732283472" top="0.78740157480314965" bottom="0.78740157480314965" header="0.31496062992125984" footer="0.31496062992125984"/>
  <pageSetup paperSize="9" scale="44" orientation="portrait" horizontalDpi="4294967293" verticalDpi="300" r:id="rId1"/>
  <headerFooter>
    <oddHeader>&amp;CAusschreibung Reinigung Gemeinde Oberhaching 2026</oddHeader>
    <oddFooter>Seite &amp;P von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7526D-4E9F-46F6-A9CB-95B1810CCA6A}">
  <sheetPr>
    <tabColor theme="7" tint="0.59999389629810485"/>
  </sheetPr>
  <dimension ref="A1:I25"/>
  <sheetViews>
    <sheetView zoomScale="60" zoomScaleNormal="6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4.21875" style="9" customWidth="1"/>
    <col min="5" max="5" width="15.33203125" style="9" customWidth="1"/>
    <col min="6" max="9" width="19.44140625" style="9" customWidth="1"/>
    <col min="10" max="16384" width="11.44140625" style="9"/>
  </cols>
  <sheetData>
    <row r="1" spans="1:9" ht="36.75" customHeight="1" x14ac:dyDescent="0.25">
      <c r="A1" s="75" t="s">
        <v>3</v>
      </c>
      <c r="B1" s="449">
        <f>Basisdaten!E5</f>
        <v>0</v>
      </c>
      <c r="C1" s="329"/>
      <c r="D1" s="75"/>
      <c r="E1" s="300" t="s">
        <v>1</v>
      </c>
      <c r="F1" s="299">
        <f>Basisdaten!E3</f>
        <v>0</v>
      </c>
      <c r="G1" s="299"/>
      <c r="H1" s="299"/>
      <c r="I1" s="299"/>
    </row>
    <row r="2" spans="1:9" ht="24.6" customHeight="1" x14ac:dyDescent="0.25"/>
    <row r="3" spans="1:9" ht="24.75" customHeight="1" x14ac:dyDescent="0.25">
      <c r="A3" s="631" t="s">
        <v>1003</v>
      </c>
      <c r="B3" s="631"/>
      <c r="C3" s="631"/>
      <c r="D3" s="631"/>
      <c r="E3" s="631"/>
      <c r="F3" s="631"/>
      <c r="G3" s="631"/>
      <c r="H3" s="631"/>
      <c r="I3" s="568"/>
    </row>
    <row r="4" spans="1:9" ht="39" customHeight="1" thickBot="1" x14ac:dyDescent="0.3">
      <c r="A4" s="637" t="s">
        <v>95</v>
      </c>
      <c r="B4" s="637"/>
      <c r="C4" s="637"/>
      <c r="D4" s="637"/>
      <c r="E4" s="637"/>
      <c r="F4" s="637"/>
      <c r="G4" s="637"/>
      <c r="H4" s="637"/>
      <c r="I4" s="74"/>
    </row>
    <row r="5" spans="1:9" ht="45" customHeight="1" thickBot="1" x14ac:dyDescent="0.3">
      <c r="A5" s="76" t="s">
        <v>57</v>
      </c>
      <c r="B5" s="76" t="s">
        <v>59</v>
      </c>
      <c r="C5" s="76" t="s">
        <v>239</v>
      </c>
      <c r="D5" s="76" t="s">
        <v>58</v>
      </c>
      <c r="E5" s="76" t="s">
        <v>59</v>
      </c>
      <c r="F5" s="76" t="s">
        <v>60</v>
      </c>
      <c r="G5" s="76" t="s">
        <v>740</v>
      </c>
      <c r="H5" s="76" t="s">
        <v>741</v>
      </c>
      <c r="I5" s="44" t="s">
        <v>988</v>
      </c>
    </row>
    <row r="6" spans="1:9" ht="42" customHeight="1" thickBot="1" x14ac:dyDescent="0.3">
      <c r="A6" s="325" t="s">
        <v>186</v>
      </c>
      <c r="B6" s="44" t="s">
        <v>909</v>
      </c>
      <c r="C6" s="44" t="str">
        <f t="shared" ref="C6:C23" si="0">CONCATENATE(A6,"-",B6)</f>
        <v>A1-J0,5</v>
      </c>
      <c r="D6" s="77" t="s">
        <v>748</v>
      </c>
      <c r="E6" s="44" t="str">
        <f t="shared" ref="E6:E24" si="1">B6</f>
        <v>J0,5</v>
      </c>
      <c r="F6" s="78"/>
      <c r="G6" s="571">
        <v>10</v>
      </c>
      <c r="H6" s="584">
        <v>18</v>
      </c>
      <c r="I6" s="586">
        <f>SUMIFS('Kalk GR GS Deisenhofen'!$Q$8:$Q$251,'Kalk GR GS Deisenhofen'!$R$8:$R$251,2,'Kalk GR GS Deisenhofen'!$G$8:$G$251,C6)+SUMIF('Kalk GR KiGa Am Rain'!$G$8:$G$76,'Leistungswerte GR Kigas'!C6,'Kalk GR KiGa Am Rain'!$Q$8:$Q$76)</f>
        <v>0</v>
      </c>
    </row>
    <row r="7" spans="1:9" ht="42" customHeight="1" thickBot="1" x14ac:dyDescent="0.3">
      <c r="A7" s="325" t="s">
        <v>187</v>
      </c>
      <c r="B7" s="44" t="s">
        <v>909</v>
      </c>
      <c r="C7" s="44" t="str">
        <f t="shared" si="0"/>
        <v>B1-J0,5</v>
      </c>
      <c r="D7" s="77" t="s">
        <v>174</v>
      </c>
      <c r="E7" s="44" t="str">
        <f>B7</f>
        <v>J0,5</v>
      </c>
      <c r="F7" s="78"/>
      <c r="G7" s="571">
        <v>10</v>
      </c>
      <c r="H7" s="584">
        <v>18</v>
      </c>
      <c r="I7" s="586">
        <f>SUMIFS('Kalk GR GS Deisenhofen'!$Q$8:$Q$251,'Kalk GR GS Deisenhofen'!$R$8:$R$251,2,'Kalk GR GS Deisenhofen'!$G$8:$G$251,C7)+SUMIF('Kalk GR KiGa Am Rain'!$G$8:$G$76,'Leistungswerte GR Kigas'!C7,'Kalk GR KiGa Am Rain'!$Q$8:$Q$76)</f>
        <v>0</v>
      </c>
    </row>
    <row r="8" spans="1:9" ht="42" customHeight="1" thickBot="1" x14ac:dyDescent="0.3">
      <c r="A8" s="325" t="s">
        <v>189</v>
      </c>
      <c r="B8" s="44" t="s">
        <v>54</v>
      </c>
      <c r="C8" s="44" t="str">
        <f t="shared" si="0"/>
        <v>D1-J1</v>
      </c>
      <c r="D8" s="77" t="s">
        <v>175</v>
      </c>
      <c r="E8" s="44" t="str">
        <f t="shared" si="1"/>
        <v>J1</v>
      </c>
      <c r="F8" s="78"/>
      <c r="G8" s="571">
        <v>4</v>
      </c>
      <c r="H8" s="584">
        <v>8</v>
      </c>
      <c r="I8" s="586">
        <f>SUMIFS('Kalk GR GS Deisenhofen'!$Q$8:$Q$251,'Kalk GR GS Deisenhofen'!$R$8:$R$251,2,'Kalk GR GS Deisenhofen'!$G$8:$G$251,C8)+SUMIF('Kalk GR KiGa Am Rain'!$G$8:$G$76,'Leistungswerte GR Kigas'!C8,'Kalk GR KiGa Am Rain'!$Q$8:$Q$76)</f>
        <v>0</v>
      </c>
    </row>
    <row r="9" spans="1:9" ht="42" customHeight="1" thickBot="1" x14ac:dyDescent="0.3">
      <c r="A9" s="325" t="s">
        <v>190</v>
      </c>
      <c r="B9" s="44" t="s">
        <v>909</v>
      </c>
      <c r="C9" s="44" t="str">
        <f t="shared" si="0"/>
        <v>E1-J0,5</v>
      </c>
      <c r="D9" s="77" t="s">
        <v>743</v>
      </c>
      <c r="E9" s="44" t="str">
        <f t="shared" si="1"/>
        <v>J0,5</v>
      </c>
      <c r="F9" s="78"/>
      <c r="G9" s="571">
        <v>15</v>
      </c>
      <c r="H9" s="584">
        <v>35</v>
      </c>
      <c r="I9" s="586">
        <f>SUMIFS('Kalk GR GS Deisenhofen'!$Q$8:$Q$251,'Kalk GR GS Deisenhofen'!$R$8:$R$251,2,'Kalk GR GS Deisenhofen'!$G$8:$G$251,C9)+SUMIF('Kalk GR KiGa Am Rain'!$G$8:$G$76,'Leistungswerte GR Kigas'!C9,'Kalk GR KiGa Am Rain'!$Q$8:$Q$76)</f>
        <v>0</v>
      </c>
    </row>
    <row r="10" spans="1:9" ht="42" customHeight="1" thickBot="1" x14ac:dyDescent="0.3">
      <c r="A10" s="325" t="s">
        <v>744</v>
      </c>
      <c r="B10" s="44" t="s">
        <v>909</v>
      </c>
      <c r="C10" s="44" t="str">
        <f t="shared" si="0"/>
        <v>E2-J0,5</v>
      </c>
      <c r="D10" s="77" t="s">
        <v>742</v>
      </c>
      <c r="E10" s="44" t="str">
        <f t="shared" si="1"/>
        <v>J0,5</v>
      </c>
      <c r="F10" s="78"/>
      <c r="G10" s="571">
        <v>8</v>
      </c>
      <c r="H10" s="584">
        <v>15</v>
      </c>
      <c r="I10" s="586">
        <f>SUMIFS('Kalk GR GS Deisenhofen'!$Q$8:$Q$251,'Kalk GR GS Deisenhofen'!$R$8:$R$251,2,'Kalk GR GS Deisenhofen'!$G$8:$G$251,C10)+SUMIF('Kalk GR KiGa Am Rain'!$G$8:$G$76,'Leistungswerte GR Kigas'!C10,'Kalk GR KiGa Am Rain'!$Q$8:$Q$76)</f>
        <v>0</v>
      </c>
    </row>
    <row r="11" spans="1:9" ht="42" customHeight="1" thickBot="1" x14ac:dyDescent="0.3">
      <c r="A11" s="326" t="s">
        <v>191</v>
      </c>
      <c r="B11" s="44" t="s">
        <v>909</v>
      </c>
      <c r="C11" s="44" t="str">
        <f t="shared" si="0"/>
        <v>F1-J0,5</v>
      </c>
      <c r="D11" s="77" t="s">
        <v>176</v>
      </c>
      <c r="E11" s="44" t="str">
        <f>B11</f>
        <v>J0,5</v>
      </c>
      <c r="F11" s="78"/>
      <c r="G11" s="571">
        <v>8</v>
      </c>
      <c r="H11" s="584">
        <v>35</v>
      </c>
      <c r="I11" s="586">
        <f>SUMIFS('Kalk GR GS Deisenhofen'!$Q$8:$Q$251,'Kalk GR GS Deisenhofen'!$R$8:$R$251,2,'Kalk GR GS Deisenhofen'!$G$8:$G$251,C11)+SUMIF('Kalk GR KiGa Am Rain'!$G$8:$G$76,'Leistungswerte GR Kigas'!C11,'Kalk GR KiGa Am Rain'!$Q$8:$Q$76)</f>
        <v>0</v>
      </c>
    </row>
    <row r="12" spans="1:9" ht="42" customHeight="1" thickBot="1" x14ac:dyDescent="0.3">
      <c r="A12" s="325" t="s">
        <v>193</v>
      </c>
      <c r="B12" s="44" t="s">
        <v>909</v>
      </c>
      <c r="C12" s="44" t="str">
        <f t="shared" si="0"/>
        <v>F3-J0,5</v>
      </c>
      <c r="D12" s="77" t="s">
        <v>178</v>
      </c>
      <c r="E12" s="44" t="str">
        <f t="shared" si="1"/>
        <v>J0,5</v>
      </c>
      <c r="F12" s="78"/>
      <c r="G12" s="571">
        <v>8</v>
      </c>
      <c r="H12" s="584">
        <v>15</v>
      </c>
      <c r="I12" s="586">
        <f>SUMIFS('Kalk GR GS Deisenhofen'!$Q$8:$Q$251,'Kalk GR GS Deisenhofen'!$R$8:$R$251,2,'Kalk GR GS Deisenhofen'!$G$8:$G$251,C12)+SUMIF('Kalk GR KiGa Am Rain'!$G$8:$G$76,'Leistungswerte GR Kigas'!C12,'Kalk GR KiGa Am Rain'!$Q$8:$Q$76)</f>
        <v>0</v>
      </c>
    </row>
    <row r="13" spans="1:9" ht="42" customHeight="1" thickBot="1" x14ac:dyDescent="0.3">
      <c r="A13" s="325" t="s">
        <v>194</v>
      </c>
      <c r="B13" s="44" t="s">
        <v>909</v>
      </c>
      <c r="C13" s="44" t="str">
        <f t="shared" si="0"/>
        <v>G1-J0,5</v>
      </c>
      <c r="D13" s="77" t="s">
        <v>179</v>
      </c>
      <c r="E13" s="44" t="str">
        <f>B13</f>
        <v>J0,5</v>
      </c>
      <c r="F13" s="78"/>
      <c r="G13" s="571">
        <v>8</v>
      </c>
      <c r="H13" s="584">
        <v>25</v>
      </c>
      <c r="I13" s="586">
        <f>SUMIFS('Kalk GR GS Deisenhofen'!$Q$8:$Q$251,'Kalk GR GS Deisenhofen'!$R$8:$R$251,2,'Kalk GR GS Deisenhofen'!$G$8:$G$251,C13)+SUMIF('Kalk GR KiGa Am Rain'!$G$8:$G$76,'Leistungswerte GR Kigas'!C13,'Kalk GR KiGa Am Rain'!$Q$8:$Q$76)</f>
        <v>0</v>
      </c>
    </row>
    <row r="14" spans="1:9" ht="42" customHeight="1" thickBot="1" x14ac:dyDescent="0.3">
      <c r="A14" s="325" t="s">
        <v>195</v>
      </c>
      <c r="B14" s="44" t="s">
        <v>909</v>
      </c>
      <c r="C14" s="44" t="str">
        <f t="shared" si="0"/>
        <v>H1-J0,5</v>
      </c>
      <c r="D14" s="77" t="s">
        <v>180</v>
      </c>
      <c r="E14" s="44" t="str">
        <f t="shared" si="1"/>
        <v>J0,5</v>
      </c>
      <c r="F14" s="78"/>
      <c r="G14" s="571">
        <v>8</v>
      </c>
      <c r="H14" s="584">
        <v>15</v>
      </c>
      <c r="I14" s="586">
        <f>SUMIFS('Kalk GR GS Deisenhofen'!$Q$8:$Q$251,'Kalk GR GS Deisenhofen'!$R$8:$R$251,2,'Kalk GR GS Deisenhofen'!$G$8:$G$251,C14)+SUMIF('Kalk GR KiGa Am Rain'!$G$8:$G$76,'Leistungswerte GR Kigas'!C14,'Kalk GR KiGa Am Rain'!$Q$8:$Q$76)</f>
        <v>0</v>
      </c>
    </row>
    <row r="15" spans="1:9" ht="42" customHeight="1" thickBot="1" x14ac:dyDescent="0.3">
      <c r="A15" s="325" t="s">
        <v>173</v>
      </c>
      <c r="B15" s="44" t="s">
        <v>54</v>
      </c>
      <c r="C15" s="44" t="str">
        <f t="shared" si="0"/>
        <v>K1-J1</v>
      </c>
      <c r="D15" s="77" t="s">
        <v>181</v>
      </c>
      <c r="E15" s="44" t="str">
        <f t="shared" si="1"/>
        <v>J1</v>
      </c>
      <c r="F15" s="78"/>
      <c r="G15" s="571">
        <v>5</v>
      </c>
      <c r="H15" s="584">
        <v>14</v>
      </c>
      <c r="I15" s="586">
        <f>SUMIFS('Kalk GR GS Deisenhofen'!$Q$8:$Q$251,'Kalk GR GS Deisenhofen'!$R$8:$R$251,2,'Kalk GR GS Deisenhofen'!$G$8:$G$251,C15)+SUMIF('Kalk GR KiGa Am Rain'!$G$8:$G$76,'Leistungswerte GR Kigas'!C15,'Kalk GR KiGa Am Rain'!$Q$8:$Q$76)</f>
        <v>0</v>
      </c>
    </row>
    <row r="16" spans="1:9" ht="30.6" customHeight="1" thickBot="1" x14ac:dyDescent="0.3">
      <c r="A16" s="325" t="s">
        <v>196</v>
      </c>
      <c r="B16" s="44" t="s">
        <v>68</v>
      </c>
      <c r="C16" s="44" t="str">
        <f t="shared" si="0"/>
        <v>L1-kR</v>
      </c>
      <c r="D16" s="428" t="s">
        <v>937</v>
      </c>
      <c r="E16" s="44" t="str">
        <f t="shared" si="1"/>
        <v>kR</v>
      </c>
      <c r="F16" s="570"/>
      <c r="G16" s="570"/>
      <c r="H16" s="585"/>
      <c r="I16" s="586">
        <f>SUMIFS('Kalk GR GS Deisenhofen'!$Q$8:$Q$251,'Kalk GR GS Deisenhofen'!$R$8:$R$251,2,'Kalk GR GS Deisenhofen'!$G$8:$G$251,C16)+SUMIF('Kalk GR KiGa Am Rain'!$G$8:$G$76,'Leistungswerte GR Kigas'!C16,'Kalk GR KiGa Am Rain'!$Q$8:$Q$76)</f>
        <v>0</v>
      </c>
    </row>
    <row r="17" spans="1:9" ht="42" customHeight="1" thickBot="1" x14ac:dyDescent="0.3">
      <c r="A17" s="325" t="s">
        <v>196</v>
      </c>
      <c r="B17" s="44" t="s">
        <v>909</v>
      </c>
      <c r="C17" s="44" t="str">
        <f t="shared" si="0"/>
        <v>L1-J0,5</v>
      </c>
      <c r="D17" s="77" t="s">
        <v>165</v>
      </c>
      <c r="E17" s="44" t="str">
        <f t="shared" si="1"/>
        <v>J0,5</v>
      </c>
      <c r="F17" s="78"/>
      <c r="G17" s="571">
        <v>10</v>
      </c>
      <c r="H17" s="584">
        <v>22</v>
      </c>
      <c r="I17" s="586">
        <f>SUMIFS('Kalk GR GS Deisenhofen'!$Q$8:$Q$251,'Kalk GR GS Deisenhofen'!$R$8:$R$251,2,'Kalk GR GS Deisenhofen'!$G$8:$G$251,C17)+SUMIF('Kalk GR KiGa Am Rain'!$G$8:$G$76,'Leistungswerte GR Kigas'!C17,'Kalk GR KiGa Am Rain'!$Q$8:$Q$76)</f>
        <v>0</v>
      </c>
    </row>
    <row r="18" spans="1:9" ht="42" customHeight="1" thickBot="1" x14ac:dyDescent="0.3">
      <c r="A18" s="325" t="s">
        <v>197</v>
      </c>
      <c r="B18" s="44" t="s">
        <v>909</v>
      </c>
      <c r="C18" s="44" t="str">
        <f t="shared" si="0"/>
        <v>L3-J0,5</v>
      </c>
      <c r="D18" s="77" t="s">
        <v>166</v>
      </c>
      <c r="E18" s="44" t="str">
        <f t="shared" si="1"/>
        <v>J0,5</v>
      </c>
      <c r="F18" s="78"/>
      <c r="G18" s="571">
        <v>15</v>
      </c>
      <c r="H18" s="584">
        <v>30</v>
      </c>
      <c r="I18" s="586">
        <f>SUMIFS('Kalk GR GS Deisenhofen'!$Q$8:$Q$251,'Kalk GR GS Deisenhofen'!$R$8:$R$251,2,'Kalk GR GS Deisenhofen'!$G$8:$G$251,C18)+SUMIF('Kalk GR KiGa Am Rain'!$G$8:$G$76,'Leistungswerte GR Kigas'!C18,'Kalk GR KiGa Am Rain'!$Q$8:$Q$76)</f>
        <v>0</v>
      </c>
    </row>
    <row r="19" spans="1:9" ht="28.8" customHeight="1" thickBot="1" x14ac:dyDescent="0.3">
      <c r="A19" s="325" t="s">
        <v>197</v>
      </c>
      <c r="B19" s="44" t="s">
        <v>68</v>
      </c>
      <c r="C19" s="44" t="str">
        <f t="shared" si="0"/>
        <v>L3-kR</v>
      </c>
      <c r="D19" s="77" t="s">
        <v>939</v>
      </c>
      <c r="E19" s="44" t="str">
        <f t="shared" si="1"/>
        <v>kR</v>
      </c>
      <c r="F19" s="570"/>
      <c r="G19" s="570"/>
      <c r="H19" s="585"/>
      <c r="I19" s="586">
        <f>SUMIFS('Kalk GR GS Deisenhofen'!$Q$8:$Q$251,'Kalk GR GS Deisenhofen'!$R$8:$R$251,2,'Kalk GR GS Deisenhofen'!$G$8:$G$251,C19)+SUMIF('Kalk GR KiGa Am Rain'!$G$8:$G$76,'Leistungswerte GR Kigas'!C19,'Kalk GR KiGa Am Rain'!$Q$8:$Q$76)</f>
        <v>0</v>
      </c>
    </row>
    <row r="20" spans="1:9" ht="42" customHeight="1" thickBot="1" x14ac:dyDescent="0.3">
      <c r="A20" s="325" t="s">
        <v>31</v>
      </c>
      <c r="B20" s="44" t="s">
        <v>54</v>
      </c>
      <c r="C20" s="44" t="str">
        <f t="shared" si="0"/>
        <v>M1-J1</v>
      </c>
      <c r="D20" s="77" t="s">
        <v>684</v>
      </c>
      <c r="E20" s="44" t="str">
        <f t="shared" si="1"/>
        <v>J1</v>
      </c>
      <c r="F20" s="78"/>
      <c r="G20" s="571">
        <v>12</v>
      </c>
      <c r="H20" s="584">
        <v>30</v>
      </c>
      <c r="I20" s="586">
        <f>SUMIFS('Kalk GR GS Deisenhofen'!$Q$8:$Q$251,'Kalk GR GS Deisenhofen'!$R$8:$R$251,2,'Kalk GR GS Deisenhofen'!$G$8:$G$251,C20)+SUMIF('Kalk GR KiGa Am Rain'!$G$8:$G$76,'Leistungswerte GR Kigas'!C20,'Kalk GR KiGa Am Rain'!$Q$8:$Q$76)</f>
        <v>0</v>
      </c>
    </row>
    <row r="21" spans="1:9" ht="42" customHeight="1" thickBot="1" x14ac:dyDescent="0.3">
      <c r="A21" s="325" t="s">
        <v>199</v>
      </c>
      <c r="B21" s="44" t="s">
        <v>909</v>
      </c>
      <c r="C21" s="44" t="str">
        <f t="shared" si="0"/>
        <v>N2-J0,5</v>
      </c>
      <c r="D21" s="77" t="s">
        <v>745</v>
      </c>
      <c r="E21" s="44" t="str">
        <f t="shared" si="1"/>
        <v>J0,5</v>
      </c>
      <c r="F21" s="78"/>
      <c r="G21" s="571">
        <v>20</v>
      </c>
      <c r="H21" s="584">
        <v>40</v>
      </c>
      <c r="I21" s="586">
        <f>SUMIFS('Kalk GR GS Deisenhofen'!$Q$8:$Q$251,'Kalk GR GS Deisenhofen'!$R$8:$R$251,2,'Kalk GR GS Deisenhofen'!$G$8:$G$251,C21)+SUMIF('Kalk GR KiGa Am Rain'!$G$8:$G$76,'Leistungswerte GR Kigas'!C21,'Kalk GR KiGa Am Rain'!$Q$8:$Q$76)</f>
        <v>0</v>
      </c>
    </row>
    <row r="22" spans="1:9" ht="42" customHeight="1" thickBot="1" x14ac:dyDescent="0.3">
      <c r="A22" s="325" t="s">
        <v>200</v>
      </c>
      <c r="B22" s="44" t="s">
        <v>54</v>
      </c>
      <c r="C22" s="44" t="str">
        <f t="shared" si="0"/>
        <v>S1-J1</v>
      </c>
      <c r="D22" s="77" t="s">
        <v>184</v>
      </c>
      <c r="E22" s="44" t="str">
        <f t="shared" si="1"/>
        <v>J1</v>
      </c>
      <c r="F22" s="78"/>
      <c r="G22" s="571">
        <v>5</v>
      </c>
      <c r="H22" s="584">
        <v>12</v>
      </c>
      <c r="I22" s="586">
        <f>SUMIFS('Kalk GR GS Deisenhofen'!$Q$8:$Q$251,'Kalk GR GS Deisenhofen'!$R$8:$R$251,2,'Kalk GR GS Deisenhofen'!$G$8:$G$251,C22)+SUMIF('Kalk GR KiGa Am Rain'!$G$8:$G$76,'Leistungswerte GR Kigas'!C22,'Kalk GR KiGa Am Rain'!$Q$8:$Q$76)</f>
        <v>0</v>
      </c>
    </row>
    <row r="23" spans="1:9" ht="42" customHeight="1" thickBot="1" x14ac:dyDescent="0.3">
      <c r="A23" s="325" t="s">
        <v>203</v>
      </c>
      <c r="B23" s="44" t="s">
        <v>909</v>
      </c>
      <c r="C23" s="44" t="str">
        <f t="shared" si="0"/>
        <v>U3-J0,5</v>
      </c>
      <c r="D23" s="77" t="s">
        <v>679</v>
      </c>
      <c r="E23" s="44" t="str">
        <f t="shared" si="1"/>
        <v>J0,5</v>
      </c>
      <c r="F23" s="78"/>
      <c r="G23" s="571">
        <v>10</v>
      </c>
      <c r="H23" s="584">
        <v>35</v>
      </c>
      <c r="I23" s="586">
        <f>SUMIFS('Kalk GR GS Deisenhofen'!$Q$8:$Q$251,'Kalk GR GS Deisenhofen'!$R$8:$R$251,2,'Kalk GR GS Deisenhofen'!$G$8:$G$251,C23)+SUMIF('Kalk GR KiGa Am Rain'!$G$8:$G$76,'Leistungswerte GR Kigas'!C23,'Kalk GR KiGa Am Rain'!$Q$8:$Q$76)</f>
        <v>0</v>
      </c>
    </row>
    <row r="24" spans="1:9" ht="42" customHeight="1" x14ac:dyDescent="0.25">
      <c r="A24" s="325" t="s">
        <v>16</v>
      </c>
      <c r="B24" s="44" t="s">
        <v>68</v>
      </c>
      <c r="C24" s="44" t="str">
        <f>CONCATENATE(A24,"--",B24)</f>
        <v>Z--kR</v>
      </c>
      <c r="D24" s="77" t="s">
        <v>938</v>
      </c>
      <c r="E24" s="44" t="str">
        <f t="shared" si="1"/>
        <v>kR</v>
      </c>
      <c r="F24" s="324"/>
      <c r="G24" s="570"/>
      <c r="H24" s="585"/>
      <c r="I24" s="586">
        <f>SUMIFS('Kalk GR GS Deisenhofen'!$Q$8:$Q$251,'Kalk GR GS Deisenhofen'!$R$8:$R$251,2,'Kalk GR GS Deisenhofen'!$G$8:$G$251,C24)+SUMIF('Kalk GR KiGa Am Rain'!$G$8:$G$76,'Leistungswerte GR Kigas'!C24,'Kalk GR KiGa Am Rain'!$Q$8:$Q$76)</f>
        <v>0</v>
      </c>
    </row>
    <row r="25" spans="1:9" ht="34.799999999999997" customHeight="1" x14ac:dyDescent="0.3">
      <c r="H25" s="589" t="s">
        <v>1002</v>
      </c>
      <c r="I25" s="590">
        <f>SUM(I6:I24)</f>
        <v>0</v>
      </c>
    </row>
  </sheetData>
  <sheetProtection selectLockedCells="1"/>
  <mergeCells count="2">
    <mergeCell ref="A4:H4"/>
    <mergeCell ref="A3:H3"/>
  </mergeCells>
  <phoneticPr fontId="50" type="noConversion"/>
  <pageMargins left="0.70866141732283472" right="0.70866141732283472" top="0.78740157480314965" bottom="0.78740157480314965" header="0.31496062992125984" footer="0.31496062992125984"/>
  <pageSetup paperSize="9" scale="42" orientation="portrait" horizontalDpi="4294967293" verticalDpi="300" r:id="rId1"/>
  <headerFooter>
    <oddHeader>&amp;CAusschreibung Reinigung Gemeinde Oberhaching 2026</oddHeader>
    <oddFooter>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38</vt:i4>
      </vt:variant>
    </vt:vector>
  </HeadingPairs>
  <TitlesOfParts>
    <vt:vector size="59" baseType="lpstr">
      <vt:lpstr>Basisdaten</vt:lpstr>
      <vt:lpstr>Preisblatt Los 1</vt:lpstr>
      <vt:lpstr>LV UHR Schulen</vt:lpstr>
      <vt:lpstr>LV UHR Kitas</vt:lpstr>
      <vt:lpstr>LV Grundreinigung</vt:lpstr>
      <vt:lpstr>Leistungswerte UHR Schulen</vt:lpstr>
      <vt:lpstr>Leistungswerte UHR Kigas</vt:lpstr>
      <vt:lpstr>Leistungswerte GR Schulen</vt:lpstr>
      <vt:lpstr>Leistungswerte GR Kigas</vt:lpstr>
      <vt:lpstr>SVS UHR</vt:lpstr>
      <vt:lpstr>SVS GR</vt:lpstr>
      <vt:lpstr>SVS Innenglas</vt:lpstr>
      <vt:lpstr>Kalk UHR GS Deisenhofen</vt:lpstr>
      <vt:lpstr>Kalk GR GS Deisenhofen</vt:lpstr>
      <vt:lpstr>Kalk Innengl.GS Deisenhofen</vt:lpstr>
      <vt:lpstr>Kalk UHR KiGa Am Rain</vt:lpstr>
      <vt:lpstr>Kalk GR KiGa Am Rain</vt:lpstr>
      <vt:lpstr>Kalk Innengl.KiGa Am Rain</vt:lpstr>
      <vt:lpstr>Turnus</vt:lpstr>
      <vt:lpstr>verrechenbare Arbeitstage</vt:lpstr>
      <vt:lpstr>verrechenbare Arbeitstage 2</vt:lpstr>
      <vt:lpstr>Basisdaten!Druckbereich</vt:lpstr>
      <vt:lpstr>'Kalk GR GS Deisenhofen'!Druckbereich</vt:lpstr>
      <vt:lpstr>'Kalk GR KiGa Am Rain'!Druckbereich</vt:lpstr>
      <vt:lpstr>'Kalk Innengl.GS Deisenhofen'!Druckbereich</vt:lpstr>
      <vt:lpstr>'Kalk Innengl.KiGa Am Rain'!Druckbereich</vt:lpstr>
      <vt:lpstr>'Kalk UHR GS Deisenhofen'!Druckbereich</vt:lpstr>
      <vt:lpstr>'Kalk UHR KiGa Am Rain'!Druckbereich</vt:lpstr>
      <vt:lpstr>'Leistungswerte UHR Schulen'!Druckbereich</vt:lpstr>
      <vt:lpstr>'LV UHR Kitas'!Druckbereich</vt:lpstr>
      <vt:lpstr>'LV UHR Schulen'!Druckbereich</vt:lpstr>
      <vt:lpstr>'Preisblatt Los 1'!Druckbereich</vt:lpstr>
      <vt:lpstr>'SVS GR'!Druckbereich</vt:lpstr>
      <vt:lpstr>'SVS Innenglas'!Druckbereich</vt:lpstr>
      <vt:lpstr>'SVS UHR'!Druckbereich</vt:lpstr>
      <vt:lpstr>Turnus!Druckbereich</vt:lpstr>
      <vt:lpstr>'verrechenbare Arbeitstage'!Druckbereich</vt:lpstr>
      <vt:lpstr>'verrechenbare Arbeitstage 2'!Druckbereich</vt:lpstr>
      <vt:lpstr>'Kalk GR GS Deisenhofen'!Drucktitel</vt:lpstr>
      <vt:lpstr>'Kalk GR KiGa Am Rain'!Drucktitel</vt:lpstr>
      <vt:lpstr>'Kalk Innengl.GS Deisenhofen'!Drucktitel</vt:lpstr>
      <vt:lpstr>'Kalk Innengl.KiGa Am Rain'!Drucktitel</vt:lpstr>
      <vt:lpstr>'Kalk UHR GS Deisenhofen'!Drucktitel</vt:lpstr>
      <vt:lpstr>'Kalk UHR KiGa Am Rain'!Drucktitel</vt:lpstr>
      <vt:lpstr>'Leistungswerte GR Kigas'!Drucktitel</vt:lpstr>
      <vt:lpstr>'Leistungswerte GR Schulen'!Drucktitel</vt:lpstr>
      <vt:lpstr>'Leistungswerte UHR Kigas'!Drucktitel</vt:lpstr>
      <vt:lpstr>'Leistungswerte UHR Schulen'!Drucktitel</vt:lpstr>
      <vt:lpstr>'LV Grundreinigung'!Drucktitel</vt:lpstr>
      <vt:lpstr>'LV UHR Kitas'!Drucktitel</vt:lpstr>
      <vt:lpstr>'LV UHR Schulen'!Drucktitel</vt:lpstr>
      <vt:lpstr>'Preisblatt Los 1'!Drucktitel</vt:lpstr>
      <vt:lpstr>'SVS GR'!Drucktitel</vt:lpstr>
      <vt:lpstr>'SVS Innenglas'!Drucktitel</vt:lpstr>
      <vt:lpstr>'SVS UHR'!Drucktitel</vt:lpstr>
      <vt:lpstr>'verrechenbare Arbeitstage'!Drucktitel</vt:lpstr>
      <vt:lpstr>'verrechenbare Arbeitstage 2'!Drucktitel</vt:lpstr>
      <vt:lpstr>Leistung</vt:lpstr>
      <vt:lpstr>Turnus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2012-01-12T21:20:54Z</dcterms:created>
  <dcterms:modified xsi:type="dcterms:W3CDTF">2026-02-01T13:28:21Z</dcterms:modified>
</cp:coreProperties>
</file>